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chartsheets/sheet1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5" yWindow="65521" windowWidth="4800" windowHeight="4800" tabRatio="601" activeTab="2"/>
  </bookViews>
  <sheets>
    <sheet name="Margen bruto" sheetId="1" r:id="rId1"/>
    <sheet name="Amortización" sheetId="2" r:id="rId2"/>
    <sheet name="Deuda" sheetId="3" r:id="rId3"/>
    <sheet name="P&amp;L, Cash Flow y ratios" sheetId="4" r:id="rId4"/>
    <sheet name="Balance y dividendos" sheetId="5" r:id="rId5"/>
    <sheet name="Cuadro resumen" sheetId="6" r:id="rId6"/>
    <sheet name="Gráfico" sheetId="7" r:id="rId7"/>
  </sheets>
  <definedNames/>
  <calcPr fullCalcOnLoad="1" iterate="1" iterateCount="500" iterateDelta="0.001"/>
</workbook>
</file>

<file path=xl/sharedStrings.xml><?xml version="1.0" encoding="utf-8"?>
<sst xmlns="http://schemas.openxmlformats.org/spreadsheetml/2006/main" count="428" uniqueCount="175">
  <si>
    <t>Año 0</t>
  </si>
  <si>
    <t>Año 1</t>
  </si>
  <si>
    <t>Año 2</t>
  </si>
  <si>
    <t>Año 3</t>
  </si>
  <si>
    <t>Año 4</t>
  </si>
  <si>
    <t>Año 5</t>
  </si>
  <si>
    <t>Año 6</t>
  </si>
  <si>
    <t>Año 7</t>
  </si>
  <si>
    <t>Año 8</t>
  </si>
  <si>
    <t>Año 9</t>
  </si>
  <si>
    <t>Año 10</t>
  </si>
  <si>
    <t>El año 0 refleja los supuestos de partida, que empiezan a aplicarse a partir del año 1.-</t>
  </si>
  <si>
    <t>Tasa estimada de incremento de ese volumen</t>
  </si>
  <si>
    <t>Tasa estimada de incremento de ese precio</t>
  </si>
  <si>
    <t>A) Ingresos:</t>
  </si>
  <si>
    <t>B) Gastos:</t>
  </si>
  <si>
    <t>Seguros</t>
  </si>
  <si>
    <t>Tasa estimada de incremento de esos gastos</t>
  </si>
  <si>
    <t>TOTAL DE GASTOS OPERATIVOS</t>
  </si>
  <si>
    <t>TOTAL DE INGRESOS OPERATIVOS</t>
  </si>
  <si>
    <t>MARGEN OPERATIVO BRUTO</t>
  </si>
  <si>
    <t>Inversión inicial en gastos amortizables</t>
  </si>
  <si>
    <t>Período de amortización (años)</t>
  </si>
  <si>
    <t>Amortización del inmovilizado</t>
  </si>
  <si>
    <t>Inversión inicial en inmovilizado</t>
  </si>
  <si>
    <t>Amortización de los gastos amortizables</t>
  </si>
  <si>
    <t>CÁLCULO DE LA AMORTIZACIÓN</t>
  </si>
  <si>
    <t>TOTAL AMORTIZACIÓN</t>
  </si>
  <si>
    <t>CÁLCULO DEL MARGEN OPERATIVO BRUTO</t>
  </si>
  <si>
    <t>CÁLCULO DEL SERVICIO DE LA DEUDA</t>
  </si>
  <si>
    <t>Inversión en inmovilizado y gastos amortizables</t>
  </si>
  <si>
    <t>Porcentaje que se financia con recursos propios</t>
  </si>
  <si>
    <t>Porcentaje que se financia con deuda</t>
  </si>
  <si>
    <t xml:space="preserve">Importe inicial de la deuda </t>
  </si>
  <si>
    <t>Plazo de amortización (años)</t>
  </si>
  <si>
    <t>Principal a amortizar anualmente</t>
  </si>
  <si>
    <t>Importe de la deuda a final de cada año</t>
  </si>
  <si>
    <t>Importe medio de la deuda en cada año</t>
  </si>
  <si>
    <t>Tipo de interés de la deuda</t>
  </si>
  <si>
    <t>Interés anual</t>
  </si>
  <si>
    <t>Servicio a la deuda anual (Interés + principal)</t>
  </si>
  <si>
    <t>CÁLCULO DE LA CUENTA DE RESULTADOS</t>
  </si>
  <si>
    <t>Margen operativo bruto</t>
  </si>
  <si>
    <t xml:space="preserve"> - Amortización</t>
  </si>
  <si>
    <t xml:space="preserve"> - Intereses</t>
  </si>
  <si>
    <t>Beneficio antes de impuestos</t>
  </si>
  <si>
    <t>BENEFICIO NETO</t>
  </si>
  <si>
    <t xml:space="preserve"> - Impuestos</t>
  </si>
  <si>
    <t>(Tipo impositivo)</t>
  </si>
  <si>
    <t>Porcentaje de incremento</t>
  </si>
  <si>
    <t>CÁLCULO DEL FLUJO DE FONDOS PARA EL SERVICIO DE LA DEUDA</t>
  </si>
  <si>
    <t>Ingresos operativos</t>
  </si>
  <si>
    <t>Gastos operativos</t>
  </si>
  <si>
    <t xml:space="preserve"> - Incremento de necesidades operativas de fondos (NOF)</t>
  </si>
  <si>
    <t>(NOF como % de los ingresos operativos)</t>
  </si>
  <si>
    <t>NOF</t>
  </si>
  <si>
    <t>Flujo de caja disponible para el servicio de la deuda</t>
  </si>
  <si>
    <t>CÁLCULO DEL RATIO DE COBERTURA DEL SERVICIO ANUAL DE LA DEUDA (RCSD)</t>
  </si>
  <si>
    <t>Ratio de cobertura del servicio anual de la deuda (RCSD)</t>
  </si>
  <si>
    <t>CÁLCULO DEL RATIO DE COBERTURA DEL IMPORTE TOTAL DE LA DEUDA PENDIENTE (RCTD)</t>
  </si>
  <si>
    <t>Factor de descuento anual a la tasa elegida</t>
  </si>
  <si>
    <t>Flujo de caja disponible para el servicio de la deuda (FCD)</t>
  </si>
  <si>
    <t>Tasa a utilizar para descontar el FCD</t>
  </si>
  <si>
    <t>Valor actual del FCD en cada año</t>
  </si>
  <si>
    <t>Valor actual de la suma de los FCD pendientes en cada año</t>
  </si>
  <si>
    <t>Importe de la deuda pendiente a final de cada año</t>
  </si>
  <si>
    <t>Ratio de cobertura del importe total de la deuda pendiente (RCTD)</t>
  </si>
  <si>
    <t>CÁLCULO DEL BALANCE</t>
  </si>
  <si>
    <t>Cálculo del NOF:</t>
  </si>
  <si>
    <t>Caja necesaria como % de los ingresos operativos</t>
  </si>
  <si>
    <t>Caja necesaria</t>
  </si>
  <si>
    <t>Clientes como % de los ingresos operativos</t>
  </si>
  <si>
    <t>Clientes</t>
  </si>
  <si>
    <t>Proveedores como % de los ingresos operativos</t>
  </si>
  <si>
    <t>Proveedores</t>
  </si>
  <si>
    <t>Amortización acumulada</t>
  </si>
  <si>
    <t>Inmovilizado bruto a final de año</t>
  </si>
  <si>
    <t>Inmovilizado neto</t>
  </si>
  <si>
    <t>Gastos amortizables brutos</t>
  </si>
  <si>
    <t>Gastos amortizables netos</t>
  </si>
  <si>
    <t>Total Activo</t>
  </si>
  <si>
    <t>Deuda principal</t>
  </si>
  <si>
    <t>Beneficios del año</t>
  </si>
  <si>
    <t>Reservas acumuladas</t>
  </si>
  <si>
    <t>Capital</t>
  </si>
  <si>
    <t>Total Pasivo</t>
  </si>
  <si>
    <t>Caja suplementaria (si es negativa, sería deuda suplementaria)</t>
  </si>
  <si>
    <t>CÁLCULO DE LOS DIVIDENDOS DISTRIBUIBLES</t>
  </si>
  <si>
    <t>Flujo de caja para el servicio de la deuda (FCD)</t>
  </si>
  <si>
    <t>Servicio de la deuda anual (SD)</t>
  </si>
  <si>
    <t>Flujo de caja disponible para dividendos (FCDiv = FCD-SD)</t>
  </si>
  <si>
    <t>Servicio a la deuda anual (SD)</t>
  </si>
  <si>
    <t>Reservas</t>
  </si>
  <si>
    <t>Beneficios acumulados como límite al reparto de dividendos</t>
  </si>
  <si>
    <t>FCDiv acumulado</t>
  </si>
  <si>
    <t>Dividendos repartibles</t>
  </si>
  <si>
    <t>CÁLCULO DEL BALANCE TRAS EL REPARTO DEL TOTAL DE LOS DIVIDENDOS REPARTIBLES</t>
  </si>
  <si>
    <t>Evolución del inmovilizado y de los gastos amortizables</t>
  </si>
  <si>
    <t>Capital invertido</t>
  </si>
  <si>
    <t>Tasa de descuento aplicable para calcular el VAN</t>
  </si>
  <si>
    <t>Factor de descuento a esa tasa</t>
  </si>
  <si>
    <t>Dividendos descontados</t>
  </si>
  <si>
    <t>VA de los dividendos</t>
  </si>
  <si>
    <t>VAN de la inversión</t>
  </si>
  <si>
    <t>TIR de la inversión</t>
  </si>
  <si>
    <t>Esquema de la inversión</t>
  </si>
  <si>
    <t>Dividendos repartibles acumulados (A)</t>
  </si>
  <si>
    <t>Capital invertido (B)</t>
  </si>
  <si>
    <t>A - B</t>
  </si>
  <si>
    <t>Años</t>
  </si>
  <si>
    <t>Meses</t>
  </si>
  <si>
    <t>Años (el primero que aparece en la fila distinto de 0)</t>
  </si>
  <si>
    <t>Meses (los primeros que aparecen en la fila distintos de 0)</t>
  </si>
  <si>
    <t>Período de retorno de la inversión</t>
  </si>
  <si>
    <t xml:space="preserve"> </t>
  </si>
  <si>
    <t>Nombre:</t>
  </si>
  <si>
    <t>BALANCE ANTES DEL REPARTO DE DIVIDENDOS</t>
  </si>
  <si>
    <t>CUADRO RESUMEN DEL PROYECTO: HIPÓTESIS Y RESULTADOS</t>
  </si>
  <si>
    <t>Volúmenes iniciales:</t>
  </si>
  <si>
    <t>Precios iniciales:</t>
  </si>
  <si>
    <t>Inflaciones previstas para esas estimaciones iniciales:</t>
  </si>
  <si>
    <t>ASPECTOS OPERATIVOS</t>
  </si>
  <si>
    <t>ASPECTOS ECONÓMICO-FINANCIEROS</t>
  </si>
  <si>
    <t>Total de la inversión</t>
  </si>
  <si>
    <t>A financiar con recursos propios</t>
  </si>
  <si>
    <t>A financiar con deuda</t>
  </si>
  <si>
    <t>Plazo de devolución</t>
  </si>
  <si>
    <t>Tipo de interés</t>
  </si>
  <si>
    <t>Necesidades operativas de fondos (NOF) como % de las ventas</t>
  </si>
  <si>
    <t>Tasa de descuento aplicada para calcular el VAN de la inversión</t>
  </si>
  <si>
    <t>RESULTADOS</t>
  </si>
  <si>
    <t>Total de ingresos operativos</t>
  </si>
  <si>
    <t>Beneficio neto</t>
  </si>
  <si>
    <t>VAN de la inversión para el accionista</t>
  </si>
  <si>
    <t>TIR de la inversión para el accionista</t>
  </si>
  <si>
    <t>Período de retorno (pay-back) de la inversión para el accionista</t>
  </si>
  <si>
    <t>Dividendos repartibles acumulados</t>
  </si>
  <si>
    <t>Dividendos repartibles anualmente</t>
  </si>
  <si>
    <t>Dividendos distribuibles anualmente</t>
  </si>
  <si>
    <t>Servicio a la deuda anual</t>
  </si>
  <si>
    <t>y</t>
  </si>
  <si>
    <t>Las casillas en color azul deben ser rellenadas por el usuario.-</t>
  </si>
  <si>
    <t>Tipo de interés de referencia (Euribor u otro)</t>
  </si>
  <si>
    <t>Margen sobre el tipo de referencia</t>
  </si>
  <si>
    <t>Caja suplementaria (cuadra el balance)</t>
  </si>
  <si>
    <t>Nombre</t>
  </si>
  <si>
    <t>PROYECTO EJEMPLO</t>
  </si>
  <si>
    <t>Precio del producto A</t>
  </si>
  <si>
    <t>Volumen de ventas del producto A</t>
  </si>
  <si>
    <t>Ingresos derivados de la venta del producto A</t>
  </si>
  <si>
    <t>Precio del producto B</t>
  </si>
  <si>
    <t>Volumen de ventas del producto B</t>
  </si>
  <si>
    <t>Ingresos derivados de la venta del producto B</t>
  </si>
  <si>
    <t>Precio del producto C</t>
  </si>
  <si>
    <t>Volumen de ventas del producto C</t>
  </si>
  <si>
    <t>Ingresos derivados de la venta del producto C</t>
  </si>
  <si>
    <t>Coste variable unitario del producto A</t>
  </si>
  <si>
    <t>Coste variable total del producto A</t>
  </si>
  <si>
    <t>Coste variable unitario del producto B</t>
  </si>
  <si>
    <t>Tasa estimada de incremento de ese coste</t>
  </si>
  <si>
    <t>Coste variable total del producto B</t>
  </si>
  <si>
    <t>Coste variable unitario del producto C</t>
  </si>
  <si>
    <t>Coste variable total del producto C</t>
  </si>
  <si>
    <t>Total de costes variables</t>
  </si>
  <si>
    <t>Coste de personal</t>
  </si>
  <si>
    <t>Coste de mantenimiento</t>
  </si>
  <si>
    <t>Servicios, administración, alquileres y otros gastos fijos</t>
  </si>
  <si>
    <t>Total de costes fijos</t>
  </si>
  <si>
    <t>Stocks como % de los ingresos operativos</t>
  </si>
  <si>
    <t>Stocks</t>
  </si>
  <si>
    <t>Stock</t>
  </si>
  <si>
    <t>CÁLCULO DEL VAN, TIR Y PERÍODO DE RETORNO DE LA INVERSIÓN EN BASE A CAPITAL INVERTIDO Y DIVIDENDOS REPARTIBLES (sin considerar un valor residual del proyecto)</t>
  </si>
  <si>
    <t>MODELO PARA FINANCIACIÓN DE PROYECTO MÚLTIPLE</t>
  </si>
  <si>
    <t>INSTRUCCIONES</t>
  </si>
  <si>
    <t>(C) Copyright 2002 Mofinet.com</t>
  </si>
</sst>
</file>

<file path=xl/styles.xml><?xml version="1.0" encoding="utf-8"?>
<styleSheet xmlns="http://schemas.openxmlformats.org/spreadsheetml/2006/main">
  <numFmts count="2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_P_t_s"/>
    <numFmt numFmtId="173" formatCode="#,##0.00\ _P_t_s"/>
    <numFmt numFmtId="174" formatCode="0.0%"/>
    <numFmt numFmtId="175" formatCode="_-* #,##0.0\ _P_t_s_-;\-* #,##0.0\ _P_t_s_-;_-* &quot;-&quot;??\ _P_t_s_-;_-@_-"/>
    <numFmt numFmtId="176" formatCode="_-* #,##0\ _P_t_s_-;\-* #,##0\ _P_t_s_-;_-* &quot;-&quot;??\ _P_t_s_-;_-@_-"/>
    <numFmt numFmtId="177" formatCode="#,##0.0\ _P_t_s"/>
    <numFmt numFmtId="178" formatCode="_-* #,##0.000\ _P_t_s_-;\-* #,##0.000\ _P_t_s_-;_-* &quot;-&quot;??\ _P_t_s_-;_-@_-"/>
    <numFmt numFmtId="179" formatCode="0.0000"/>
    <numFmt numFmtId="180" formatCode="#,##0\ &quot;Pts&quot;"/>
    <numFmt numFmtId="181" formatCode="#,##0.00_ ;\-#,##0.00\ "/>
  </numFmts>
  <fonts count="1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0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7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9" fontId="0" fillId="0" borderId="0" xfId="19" applyAlignment="1">
      <alignment/>
    </xf>
    <xf numFmtId="2" fontId="0" fillId="0" borderId="0" xfId="0" applyNumberFormat="1" applyAlignment="1">
      <alignment/>
    </xf>
    <xf numFmtId="172" fontId="0" fillId="0" borderId="0" xfId="17" applyNumberFormat="1" applyAlignment="1">
      <alignment/>
    </xf>
    <xf numFmtId="0" fontId="1" fillId="0" borderId="0" xfId="0" applyFont="1" applyAlignment="1">
      <alignment/>
    </xf>
    <xf numFmtId="171" fontId="0" fillId="0" borderId="0" xfId="15" applyAlignment="1">
      <alignment/>
    </xf>
    <xf numFmtId="176" fontId="0" fillId="0" borderId="0" xfId="15" applyNumberFormat="1" applyAlignment="1">
      <alignment/>
    </xf>
    <xf numFmtId="10" fontId="0" fillId="0" borderId="0" xfId="19" applyNumberFormat="1" applyAlignment="1">
      <alignment/>
    </xf>
    <xf numFmtId="173" fontId="1" fillId="0" borderId="0" xfId="0" applyNumberFormat="1" applyFont="1" applyAlignment="1">
      <alignment/>
    </xf>
    <xf numFmtId="0" fontId="2" fillId="0" borderId="0" xfId="0" applyFont="1" applyAlignment="1">
      <alignment/>
    </xf>
    <xf numFmtId="171" fontId="0" fillId="0" borderId="0" xfId="0" applyNumberFormat="1" applyFont="1" applyAlignment="1">
      <alignment/>
    </xf>
    <xf numFmtId="0" fontId="3" fillId="0" borderId="0" xfId="0" applyFont="1" applyAlignment="1">
      <alignment/>
    </xf>
    <xf numFmtId="176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76" fontId="1" fillId="0" borderId="0" xfId="15" applyNumberFormat="1" applyFont="1" applyAlignment="1">
      <alignment/>
    </xf>
    <xf numFmtId="172" fontId="0" fillId="0" borderId="0" xfId="0" applyNumberFormat="1" applyAlignment="1">
      <alignment/>
    </xf>
    <xf numFmtId="9" fontId="0" fillId="0" borderId="0" xfId="0" applyNumberFormat="1" applyAlignment="1">
      <alignment/>
    </xf>
    <xf numFmtId="172" fontId="0" fillId="0" borderId="0" xfId="15" applyNumberFormat="1" applyAlignment="1">
      <alignment/>
    </xf>
    <xf numFmtId="10" fontId="0" fillId="0" borderId="0" xfId="0" applyNumberFormat="1" applyAlignment="1">
      <alignment/>
    </xf>
    <xf numFmtId="176" fontId="1" fillId="0" borderId="0" xfId="0" applyNumberFormat="1" applyFont="1" applyAlignment="1">
      <alignment/>
    </xf>
    <xf numFmtId="179" fontId="0" fillId="0" borderId="0" xfId="0" applyNumberFormat="1" applyAlignment="1">
      <alignment/>
    </xf>
    <xf numFmtId="172" fontId="0" fillId="0" borderId="0" xfId="19" applyNumberFormat="1" applyAlignment="1">
      <alignment/>
    </xf>
    <xf numFmtId="9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74" fontId="5" fillId="0" borderId="0" xfId="19" applyNumberFormat="1" applyFont="1" applyAlignment="1">
      <alignment/>
    </xf>
    <xf numFmtId="172" fontId="5" fillId="0" borderId="0" xfId="17" applyNumberFormat="1" applyFont="1" applyAlignment="1">
      <alignment/>
    </xf>
    <xf numFmtId="176" fontId="5" fillId="0" borderId="0" xfId="15" applyNumberFormat="1" applyFont="1" applyAlignment="1">
      <alignment/>
    </xf>
    <xf numFmtId="176" fontId="0" fillId="0" borderId="0" xfId="15" applyNumberFormat="1" applyFont="1" applyAlignment="1">
      <alignment/>
    </xf>
    <xf numFmtId="171" fontId="5" fillId="0" borderId="0" xfId="15" applyFont="1" applyAlignment="1">
      <alignment/>
    </xf>
    <xf numFmtId="9" fontId="5" fillId="0" borderId="0" xfId="19" applyFont="1" applyAlignment="1">
      <alignment/>
    </xf>
    <xf numFmtId="0" fontId="0" fillId="0" borderId="0" xfId="0" applyFont="1" applyAlignment="1">
      <alignment/>
    </xf>
    <xf numFmtId="10" fontId="5" fillId="0" borderId="0" xfId="19" applyNumberFormat="1" applyFont="1" applyAlignment="1">
      <alignment/>
    </xf>
    <xf numFmtId="37" fontId="0" fillId="0" borderId="0" xfId="15" applyNumberFormat="1" applyAlignment="1">
      <alignment/>
    </xf>
    <xf numFmtId="37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 horizontal="center"/>
    </xf>
    <xf numFmtId="172" fontId="0" fillId="0" borderId="1" xfId="0" applyNumberFormat="1" applyBorder="1" applyAlignment="1">
      <alignment/>
    </xf>
    <xf numFmtId="172" fontId="0" fillId="0" borderId="2" xfId="0" applyNumberFormat="1" applyBorder="1" applyAlignment="1">
      <alignment/>
    </xf>
    <xf numFmtId="172" fontId="0" fillId="0" borderId="3" xfId="0" applyNumberFormat="1" applyBorder="1" applyAlignment="1">
      <alignment/>
    </xf>
    <xf numFmtId="173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10" fontId="0" fillId="0" borderId="2" xfId="0" applyNumberFormat="1" applyBorder="1" applyAlignment="1">
      <alignment/>
    </xf>
    <xf numFmtId="9" fontId="0" fillId="0" borderId="2" xfId="0" applyNumberFormat="1" applyBorder="1" applyAlignment="1">
      <alignment/>
    </xf>
    <xf numFmtId="9" fontId="0" fillId="0" borderId="3" xfId="0" applyNumberFormat="1" applyBorder="1" applyAlignment="1">
      <alignment/>
    </xf>
    <xf numFmtId="0" fontId="11" fillId="0" borderId="0" xfId="0" applyFont="1" applyAlignment="1">
      <alignment/>
    </xf>
    <xf numFmtId="0" fontId="3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2" borderId="0" xfId="0" applyFill="1" applyAlignment="1">
      <alignment/>
    </xf>
    <xf numFmtId="0" fontId="7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2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8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9" fillId="3" borderId="0" xfId="0" applyFont="1" applyFill="1" applyAlignment="1">
      <alignment horizontal="center"/>
    </xf>
    <xf numFmtId="172" fontId="2" fillId="3" borderId="0" xfId="0" applyNumberFormat="1" applyFont="1" applyFill="1" applyAlignment="1">
      <alignment/>
    </xf>
    <xf numFmtId="176" fontId="2" fillId="3" borderId="0" xfId="0" applyNumberFormat="1" applyFont="1" applyFill="1" applyAlignment="1">
      <alignment/>
    </xf>
    <xf numFmtId="10" fontId="9" fillId="3" borderId="0" xfId="0" applyNumberFormat="1" applyFont="1" applyFill="1" applyAlignment="1">
      <alignment horizontal="center"/>
    </xf>
    <xf numFmtId="172" fontId="1" fillId="3" borderId="0" xfId="0" applyNumberFormat="1" applyFont="1" applyFill="1" applyAlignment="1">
      <alignment/>
    </xf>
    <xf numFmtId="2" fontId="1" fillId="3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173" fontId="5" fillId="0" borderId="0" xfId="0" applyNumberFormat="1" applyFont="1" applyAlignment="1">
      <alignment/>
    </xf>
    <xf numFmtId="173" fontId="0" fillId="0" borderId="0" xfId="0" applyNumberFormat="1" applyAlignment="1">
      <alignment/>
    </xf>
    <xf numFmtId="173" fontId="0" fillId="0" borderId="0" xfId="15" applyNumberFormat="1" applyAlignment="1">
      <alignment/>
    </xf>
    <xf numFmtId="173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Resumen gráfico del proyecto</a:t>
            </a:r>
          </a:p>
        </c:rich>
      </c:tx>
      <c:layout>
        <c:manualLayout>
          <c:xMode val="factor"/>
          <c:yMode val="factor"/>
          <c:x val="-0.12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0925"/>
          <c:w val="0.641"/>
          <c:h val="0.86125"/>
        </c:manualLayout>
      </c:layout>
      <c:lineChart>
        <c:grouping val="standard"/>
        <c:varyColors val="0"/>
        <c:ser>
          <c:idx val="1"/>
          <c:order val="0"/>
          <c:tx>
            <c:strRef>
              <c:f>'Cuadro resumen'!$A$39</c:f>
              <c:strCache>
                <c:ptCount val="1"/>
                <c:pt idx="0">
                  <c:v>Margen operativo bruto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'Cuadro resumen'!$F$39:$O$39</c:f>
              <c:numCache>
                <c:ptCount val="10"/>
                <c:pt idx="0">
                  <c:v>133083</c:v>
                </c:pt>
                <c:pt idx="1">
                  <c:v>247067.18736607302</c:v>
                </c:pt>
                <c:pt idx="2">
                  <c:v>270242.7978061524</c:v>
                </c:pt>
                <c:pt idx="3">
                  <c:v>294958.1970064228</c:v>
                </c:pt>
                <c:pt idx="4">
                  <c:v>321302.9846673701</c:v>
                </c:pt>
                <c:pt idx="5">
                  <c:v>349371.6469975498</c:v>
                </c:pt>
                <c:pt idx="6">
                  <c:v>379263.8141253777</c:v>
                </c:pt>
                <c:pt idx="7">
                  <c:v>411084.5308125606</c:v>
                </c:pt>
                <c:pt idx="8">
                  <c:v>444944.5411491699</c:v>
                </c:pt>
                <c:pt idx="9">
                  <c:v>480960.5879449141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'Cuadro resumen'!$A$40</c:f>
              <c:strCache>
                <c:ptCount val="1"/>
                <c:pt idx="0">
                  <c:v>Beneficio neto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'Cuadro resumen'!$F$40:$O$40</c:f>
              <c:numCache>
                <c:ptCount val="10"/>
                <c:pt idx="0">
                  <c:v>28042.95</c:v>
                </c:pt>
                <c:pt idx="1">
                  <c:v>103770.67178794747</c:v>
                </c:pt>
                <c:pt idx="2">
                  <c:v>120472.81857399904</c:v>
                </c:pt>
                <c:pt idx="3">
                  <c:v>138175.82805417484</c:v>
                </c:pt>
                <c:pt idx="4">
                  <c:v>156937.94003379057</c:v>
                </c:pt>
                <c:pt idx="5">
                  <c:v>180720.57054840738</c:v>
                </c:pt>
                <c:pt idx="6">
                  <c:v>201788.4791814955</c:v>
                </c:pt>
                <c:pt idx="7">
                  <c:v>224109.94502816437</c:v>
                </c:pt>
                <c:pt idx="8">
                  <c:v>247756.95174696043</c:v>
                </c:pt>
                <c:pt idx="9">
                  <c:v>272805.3821641942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'Cuadro resumen'!$A$41</c:f>
              <c:strCache>
                <c:ptCount val="1"/>
                <c:pt idx="0">
                  <c:v>Flujo de caja disponible para el servicio de la deuda (FCD)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'Cuadro resumen'!$F$41:$O$41</c:f>
              <c:numCache>
                <c:ptCount val="10"/>
                <c:pt idx="0">
                  <c:v>78223.51499999996</c:v>
                </c:pt>
                <c:pt idx="1">
                  <c:v>189614.26492144747</c:v>
                </c:pt>
                <c:pt idx="2">
                  <c:v>203726.2740745115</c:v>
                </c:pt>
                <c:pt idx="3">
                  <c:v>218835.82581845613</c:v>
                </c:pt>
                <c:pt idx="4">
                  <c:v>235000.99798515852</c:v>
                </c:pt>
                <c:pt idx="5">
                  <c:v>250183.03661933765</c:v>
                </c:pt>
                <c:pt idx="6">
                  <c:v>268646.52289643645</c:v>
                </c:pt>
                <c:pt idx="7">
                  <c:v>288359.54866655305</c:v>
                </c:pt>
                <c:pt idx="8">
                  <c:v>309393.90106541803</c:v>
                </c:pt>
                <c:pt idx="9">
                  <c:v>331825.2566558232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'Cuadro resumen'!$A$45</c:f>
              <c:strCache>
                <c:ptCount val="1"/>
                <c:pt idx="0">
                  <c:v>Dividendos distribuibles anualmente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'Cuadro resumen'!$F$45:$O$45</c:f>
              <c:numCache>
                <c:ptCount val="10"/>
                <c:pt idx="0">
                  <c:v>3883.5149999999558</c:v>
                </c:pt>
                <c:pt idx="1">
                  <c:v>117794.26492144747</c:v>
                </c:pt>
                <c:pt idx="2">
                  <c:v>130608.66044049911</c:v>
                </c:pt>
                <c:pt idx="3">
                  <c:v>138175.82805417484</c:v>
                </c:pt>
                <c:pt idx="4">
                  <c:v>156937.94003379054</c:v>
                </c:pt>
                <c:pt idx="5">
                  <c:v>180720.57054840738</c:v>
                </c:pt>
                <c:pt idx="6">
                  <c:v>201788.4791814955</c:v>
                </c:pt>
                <c:pt idx="7">
                  <c:v>224109.94502816442</c:v>
                </c:pt>
                <c:pt idx="8">
                  <c:v>247756.9517469604</c:v>
                </c:pt>
                <c:pt idx="9">
                  <c:v>272805.38216419425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'Cuadro resumen'!$A$42</c:f>
              <c:strCache>
                <c:ptCount val="1"/>
                <c:pt idx="0">
                  <c:v>Servicio a la deuda anual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'Cuadro resumen'!$F$42:$O$42</c:f>
              <c:numCache>
                <c:ptCount val="10"/>
                <c:pt idx="0">
                  <c:v>74340</c:v>
                </c:pt>
                <c:pt idx="1">
                  <c:v>71820</c:v>
                </c:pt>
                <c:pt idx="2">
                  <c:v>69300</c:v>
                </c:pt>
                <c:pt idx="3">
                  <c:v>66780</c:v>
                </c:pt>
                <c:pt idx="4">
                  <c:v>64260</c:v>
                </c:pt>
                <c:pt idx="5">
                  <c:v>61740</c:v>
                </c:pt>
                <c:pt idx="6">
                  <c:v>59220</c:v>
                </c:pt>
                <c:pt idx="7">
                  <c:v>56700</c:v>
                </c:pt>
                <c:pt idx="8">
                  <c:v>54180</c:v>
                </c:pt>
                <c:pt idx="9">
                  <c:v>51660</c:v>
                </c:pt>
              </c:numCache>
            </c:numRef>
          </c:val>
          <c:smooth val="0"/>
        </c:ser>
        <c:marker val="1"/>
        <c:axId val="24511208"/>
        <c:axId val="19274281"/>
      </c:lineChart>
      <c:catAx>
        <c:axId val="245112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274281"/>
        <c:crosses val="autoZero"/>
        <c:auto val="1"/>
        <c:lblOffset val="100"/>
        <c:noMultiLvlLbl val="0"/>
      </c:catAx>
      <c:valAx>
        <c:axId val="192742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Unidades de divisa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5112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" footer="0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ofinet.com/" TargetMode="External" /><Relationship Id="rId3" Type="http://schemas.openxmlformats.org/officeDocument/2006/relationships/hyperlink" Target="http://www.mofinet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ofinet.com/" TargetMode="External" /><Relationship Id="rId3" Type="http://schemas.openxmlformats.org/officeDocument/2006/relationships/hyperlink" Target="http://www.mofinet.com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ofinet.com/" TargetMode="External" /><Relationship Id="rId3" Type="http://schemas.openxmlformats.org/officeDocument/2006/relationships/hyperlink" Target="http://www.mofinet.com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ofinet.com/" TargetMode="External" /><Relationship Id="rId3" Type="http://schemas.openxmlformats.org/officeDocument/2006/relationships/hyperlink" Target="http://www.mofinet.com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ofinet.com/" TargetMode="External" /><Relationship Id="rId3" Type="http://schemas.openxmlformats.org/officeDocument/2006/relationships/hyperlink" Target="http://www.mofinet.com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ofinet.com/" TargetMode="External" /><Relationship Id="rId3" Type="http://schemas.openxmlformats.org/officeDocument/2006/relationships/hyperlink" Target="http://www.mofinet.com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619125</xdr:colOff>
      <xdr:row>2</xdr:row>
      <xdr:rowOff>142875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4765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381000</xdr:colOff>
      <xdr:row>2</xdr:row>
      <xdr:rowOff>142875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4765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38100</xdr:colOff>
      <xdr:row>2</xdr:row>
      <xdr:rowOff>142875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4765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438150</xdr:colOff>
      <xdr:row>2</xdr:row>
      <xdr:rowOff>142875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4765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381000</xdr:colOff>
      <xdr:row>2</xdr:row>
      <xdr:rowOff>142875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4765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142875</xdr:colOff>
      <xdr:row>2</xdr:row>
      <xdr:rowOff>142875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4765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63200" cy="7239000"/>
    <xdr:graphicFrame>
      <xdr:nvGraphicFramePr>
        <xdr:cNvPr id="1" name="Shape 1025"/>
        <xdr:cNvGraphicFramePr/>
      </xdr:nvGraphicFramePr>
      <xdr:xfrm>
        <a:off x="0" y="0"/>
        <a:ext cx="10363200" cy="723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O53"/>
  <sheetViews>
    <sheetView showGridLines="0" zoomScale="75" zoomScaleNormal="75" workbookViewId="0" topLeftCell="A1">
      <selection activeCell="G6" sqref="G6"/>
    </sheetView>
  </sheetViews>
  <sheetFormatPr defaultColWidth="11.421875" defaultRowHeight="12.75"/>
  <cols>
    <col min="1" max="1" width="27.8515625" style="0" customWidth="1"/>
    <col min="5" max="15" width="15.7109375" style="0" customWidth="1"/>
  </cols>
  <sheetData>
    <row r="6" spans="1:15" s="11" customFormat="1" ht="12.75">
      <c r="A6" s="53" t="s">
        <v>172</v>
      </c>
      <c r="B6" s="54"/>
      <c r="C6" s="54"/>
      <c r="D6" s="54"/>
      <c r="E6" s="49"/>
      <c r="F6" s="49" t="s">
        <v>145</v>
      </c>
      <c r="G6" s="50" t="s">
        <v>146</v>
      </c>
      <c r="H6" s="49"/>
      <c r="I6" s="49"/>
      <c r="J6" s="49"/>
      <c r="K6" s="49"/>
      <c r="L6" s="49"/>
      <c r="M6" s="49"/>
      <c r="N6" s="49"/>
      <c r="O6" s="49"/>
    </row>
    <row r="7" spans="1:15" s="11" customFormat="1" ht="12.75">
      <c r="A7" s="51"/>
      <c r="B7" s="49"/>
      <c r="C7" s="49"/>
      <c r="D7" s="49"/>
      <c r="E7" s="49"/>
      <c r="F7" s="49"/>
      <c r="G7" s="52" t="s">
        <v>174</v>
      </c>
      <c r="H7" s="49"/>
      <c r="I7" s="49"/>
      <c r="J7" s="49"/>
      <c r="K7" s="49"/>
      <c r="L7" s="49"/>
      <c r="M7" s="49"/>
      <c r="N7" s="49"/>
      <c r="O7" s="49"/>
    </row>
    <row r="8" spans="1:15" s="11" customFormat="1" ht="12.75">
      <c r="A8" s="55" t="s">
        <v>173</v>
      </c>
      <c r="B8" s="56"/>
      <c r="C8" s="56"/>
      <c r="D8" s="56"/>
      <c r="E8" s="56"/>
      <c r="F8" s="56"/>
      <c r="G8" s="57"/>
      <c r="H8" s="56"/>
      <c r="I8" s="56"/>
      <c r="J8" s="56"/>
      <c r="K8" s="56"/>
      <c r="L8" s="56"/>
      <c r="M8" s="56"/>
      <c r="N8" s="56"/>
      <c r="O8" s="56"/>
    </row>
    <row r="9" spans="1:15" ht="12.75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</row>
    <row r="10" spans="1:15" ht="12.75">
      <c r="A10" s="58" t="s">
        <v>11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</row>
    <row r="11" spans="1:15" ht="12.75">
      <c r="A11" s="58" t="s">
        <v>141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</row>
    <row r="12" spans="1:15" ht="12.75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</row>
    <row r="13" spans="1:15" ht="12.75">
      <c r="A13" s="60" t="s">
        <v>28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</row>
    <row r="15" spans="1:15" ht="12.75">
      <c r="A15" s="61" t="s">
        <v>14</v>
      </c>
      <c r="B15" s="58"/>
      <c r="C15" s="58"/>
      <c r="D15" s="58"/>
      <c r="E15" s="62" t="s">
        <v>0</v>
      </c>
      <c r="F15" s="62" t="s">
        <v>1</v>
      </c>
      <c r="G15" s="62" t="s">
        <v>2</v>
      </c>
      <c r="H15" s="62" t="s">
        <v>3</v>
      </c>
      <c r="I15" s="62" t="s">
        <v>4</v>
      </c>
      <c r="J15" s="62" t="s">
        <v>5</v>
      </c>
      <c r="K15" s="62" t="s">
        <v>6</v>
      </c>
      <c r="L15" s="62" t="s">
        <v>7</v>
      </c>
      <c r="M15" s="62" t="s">
        <v>8</v>
      </c>
      <c r="N15" s="62" t="s">
        <v>9</v>
      </c>
      <c r="O15" s="62" t="s">
        <v>10</v>
      </c>
    </row>
    <row r="16" spans="1:15" ht="12.75">
      <c r="A16" t="s">
        <v>147</v>
      </c>
      <c r="E16" s="69">
        <v>42</v>
      </c>
      <c r="F16" s="70">
        <f>E16*(1+F17)</f>
        <v>42.42</v>
      </c>
      <c r="G16" s="70">
        <f aca="true" t="shared" si="0" ref="G16:O16">F16*(1+G17)</f>
        <v>42.8442</v>
      </c>
      <c r="H16" s="70">
        <f t="shared" si="0"/>
        <v>43.272642</v>
      </c>
      <c r="I16" s="70">
        <f t="shared" si="0"/>
        <v>43.70536842</v>
      </c>
      <c r="J16" s="70">
        <f t="shared" si="0"/>
        <v>44.1424221042</v>
      </c>
      <c r="K16" s="70">
        <f t="shared" si="0"/>
        <v>44.583846325242</v>
      </c>
      <c r="L16" s="70">
        <f t="shared" si="0"/>
        <v>45.02968478849442</v>
      </c>
      <c r="M16" s="70">
        <f t="shared" si="0"/>
        <v>45.479981636379364</v>
      </c>
      <c r="N16" s="70">
        <f t="shared" si="0"/>
        <v>45.93478145274316</v>
      </c>
      <c r="O16" s="70">
        <f t="shared" si="0"/>
        <v>46.39412926727059</v>
      </c>
    </row>
    <row r="17" spans="1:15" ht="12.75">
      <c r="A17" t="s">
        <v>13</v>
      </c>
      <c r="F17" s="27">
        <v>0.01</v>
      </c>
      <c r="G17" s="27">
        <f>F17</f>
        <v>0.01</v>
      </c>
      <c r="H17" s="27">
        <f aca="true" t="shared" si="1" ref="H17:O17">G17</f>
        <v>0.01</v>
      </c>
      <c r="I17" s="27">
        <f t="shared" si="1"/>
        <v>0.01</v>
      </c>
      <c r="J17" s="27">
        <f t="shared" si="1"/>
        <v>0.01</v>
      </c>
      <c r="K17" s="27">
        <f t="shared" si="1"/>
        <v>0.01</v>
      </c>
      <c r="L17" s="27">
        <f t="shared" si="1"/>
        <v>0.01</v>
      </c>
      <c r="M17" s="27">
        <f t="shared" si="1"/>
        <v>0.01</v>
      </c>
      <c r="N17" s="27">
        <f t="shared" si="1"/>
        <v>0.01</v>
      </c>
      <c r="O17" s="27">
        <f t="shared" si="1"/>
        <v>0.01</v>
      </c>
    </row>
    <row r="18" spans="1:15" ht="12.75">
      <c r="A18" t="s">
        <v>148</v>
      </c>
      <c r="E18" s="28">
        <v>10000</v>
      </c>
      <c r="F18" s="30">
        <f>E18*(1+F19)</f>
        <v>10100</v>
      </c>
      <c r="G18" s="30">
        <f aca="true" t="shared" si="2" ref="G18:O18">F18*(1+G19)</f>
        <v>10201</v>
      </c>
      <c r="H18" s="30">
        <f t="shared" si="2"/>
        <v>10303.01</v>
      </c>
      <c r="I18" s="30">
        <f t="shared" si="2"/>
        <v>10406.0401</v>
      </c>
      <c r="J18" s="30">
        <f t="shared" si="2"/>
        <v>10510.100501</v>
      </c>
      <c r="K18" s="30">
        <f t="shared" si="2"/>
        <v>10615.20150601</v>
      </c>
      <c r="L18" s="30">
        <f t="shared" si="2"/>
        <v>10721.353521070101</v>
      </c>
      <c r="M18" s="30">
        <f t="shared" si="2"/>
        <v>10828.567056280803</v>
      </c>
      <c r="N18" s="30">
        <f t="shared" si="2"/>
        <v>10936.85272684361</v>
      </c>
      <c r="O18" s="30">
        <f t="shared" si="2"/>
        <v>11046.221254112046</v>
      </c>
    </row>
    <row r="19" spans="1:15" ht="12.75">
      <c r="A19" t="s">
        <v>12</v>
      </c>
      <c r="E19" s="3"/>
      <c r="F19" s="27">
        <v>0.01</v>
      </c>
      <c r="G19" s="27">
        <f>F19</f>
        <v>0.01</v>
      </c>
      <c r="H19" s="27">
        <f aca="true" t="shared" si="3" ref="H19:O19">G19</f>
        <v>0.01</v>
      </c>
      <c r="I19" s="27">
        <f t="shared" si="3"/>
        <v>0.01</v>
      </c>
      <c r="J19" s="27">
        <f t="shared" si="3"/>
        <v>0.01</v>
      </c>
      <c r="K19" s="27">
        <f t="shared" si="3"/>
        <v>0.01</v>
      </c>
      <c r="L19" s="27">
        <f t="shared" si="3"/>
        <v>0.01</v>
      </c>
      <c r="M19" s="27">
        <f t="shared" si="3"/>
        <v>0.01</v>
      </c>
      <c r="N19" s="27">
        <f t="shared" si="3"/>
        <v>0.01</v>
      </c>
      <c r="O19" s="27">
        <f t="shared" si="3"/>
        <v>0.01</v>
      </c>
    </row>
    <row r="20" spans="1:15" s="4" customFormat="1" ht="12.75">
      <c r="A20" s="4" t="s">
        <v>149</v>
      </c>
      <c r="E20" s="8"/>
      <c r="F20" s="13">
        <f>F16*F18</f>
        <v>428442</v>
      </c>
      <c r="G20" s="13">
        <f aca="true" t="shared" si="4" ref="G20:O20">G16*G18</f>
        <v>437053.6842</v>
      </c>
      <c r="H20" s="13">
        <f t="shared" si="4"/>
        <v>445838.46325242</v>
      </c>
      <c r="I20" s="13">
        <f t="shared" si="4"/>
        <v>454799.8163637936</v>
      </c>
      <c r="J20" s="13">
        <f t="shared" si="4"/>
        <v>463941.29267270595</v>
      </c>
      <c r="K20" s="13">
        <f t="shared" si="4"/>
        <v>473266.5126554273</v>
      </c>
      <c r="L20" s="13">
        <f t="shared" si="4"/>
        <v>482779.16955980146</v>
      </c>
      <c r="M20" s="13">
        <f t="shared" si="4"/>
        <v>492483.03086795344</v>
      </c>
      <c r="N20" s="13">
        <f t="shared" si="4"/>
        <v>502381.9397883993</v>
      </c>
      <c r="O20" s="13">
        <f t="shared" si="4"/>
        <v>512479.81677814614</v>
      </c>
    </row>
    <row r="21" spans="1:15" ht="12.75">
      <c r="A21" t="s">
        <v>150</v>
      </c>
      <c r="E21" s="69">
        <v>9</v>
      </c>
      <c r="F21" s="70">
        <f>E21*(1+F22)</f>
        <v>9.27</v>
      </c>
      <c r="G21" s="70">
        <f aca="true" t="shared" si="5" ref="G21:O21">F21*(1+G22)</f>
        <v>9.5481</v>
      </c>
      <c r="H21" s="70">
        <f t="shared" si="5"/>
        <v>9.834543</v>
      </c>
      <c r="I21" s="70">
        <f t="shared" si="5"/>
        <v>10.12957929</v>
      </c>
      <c r="J21" s="70">
        <f t="shared" si="5"/>
        <v>10.433466668700001</v>
      </c>
      <c r="K21" s="70">
        <f t="shared" si="5"/>
        <v>10.746470668761</v>
      </c>
      <c r="L21" s="70">
        <f t="shared" si="5"/>
        <v>11.06886478882383</v>
      </c>
      <c r="M21" s="70">
        <f t="shared" si="5"/>
        <v>11.400930732488545</v>
      </c>
      <c r="N21" s="70">
        <f t="shared" si="5"/>
        <v>11.742958654463202</v>
      </c>
      <c r="O21" s="70">
        <f t="shared" si="5"/>
        <v>12.095247414097098</v>
      </c>
    </row>
    <row r="22" spans="1:15" ht="12.75">
      <c r="A22" t="s">
        <v>13</v>
      </c>
      <c r="F22" s="27">
        <v>0.03</v>
      </c>
      <c r="G22" s="27">
        <f>F22</f>
        <v>0.03</v>
      </c>
      <c r="H22" s="27">
        <f aca="true" t="shared" si="6" ref="H22:O22">G22</f>
        <v>0.03</v>
      </c>
      <c r="I22" s="27">
        <f t="shared" si="6"/>
        <v>0.03</v>
      </c>
      <c r="J22" s="27">
        <f t="shared" si="6"/>
        <v>0.03</v>
      </c>
      <c r="K22" s="27">
        <f t="shared" si="6"/>
        <v>0.03</v>
      </c>
      <c r="L22" s="27">
        <f t="shared" si="6"/>
        <v>0.03</v>
      </c>
      <c r="M22" s="27">
        <f t="shared" si="6"/>
        <v>0.03</v>
      </c>
      <c r="N22" s="27">
        <f t="shared" si="6"/>
        <v>0.03</v>
      </c>
      <c r="O22" s="27">
        <f t="shared" si="6"/>
        <v>0.03</v>
      </c>
    </row>
    <row r="23" spans="1:15" ht="12.75">
      <c r="A23" t="s">
        <v>151</v>
      </c>
      <c r="E23" s="29">
        <v>15000</v>
      </c>
      <c r="F23" s="6">
        <f>E23*(1+F24)</f>
        <v>15150</v>
      </c>
      <c r="G23" s="6">
        <f aca="true" t="shared" si="7" ref="G23:O23">F23*(1+G24)</f>
        <v>15301.5</v>
      </c>
      <c r="H23" s="6">
        <f t="shared" si="7"/>
        <v>15454.515</v>
      </c>
      <c r="I23" s="6">
        <f t="shared" si="7"/>
        <v>15609.06015</v>
      </c>
      <c r="J23" s="6">
        <f t="shared" si="7"/>
        <v>15765.1507515</v>
      </c>
      <c r="K23" s="6">
        <f t="shared" si="7"/>
        <v>15922.802259015</v>
      </c>
      <c r="L23" s="6">
        <f t="shared" si="7"/>
        <v>16082.03028160515</v>
      </c>
      <c r="M23" s="6">
        <f t="shared" si="7"/>
        <v>16242.850584421201</v>
      </c>
      <c r="N23" s="6">
        <f t="shared" si="7"/>
        <v>16405.279090265412</v>
      </c>
      <c r="O23" s="6">
        <f t="shared" si="7"/>
        <v>16569.331881168066</v>
      </c>
    </row>
    <row r="24" spans="1:15" ht="12.75">
      <c r="A24" t="s">
        <v>12</v>
      </c>
      <c r="F24" s="27">
        <v>0.01</v>
      </c>
      <c r="G24" s="27">
        <f>F24</f>
        <v>0.01</v>
      </c>
      <c r="H24" s="27">
        <f aca="true" t="shared" si="8" ref="H24:O24">G24</f>
        <v>0.01</v>
      </c>
      <c r="I24" s="27">
        <f t="shared" si="8"/>
        <v>0.01</v>
      </c>
      <c r="J24" s="27">
        <f t="shared" si="8"/>
        <v>0.01</v>
      </c>
      <c r="K24" s="27">
        <f t="shared" si="8"/>
        <v>0.01</v>
      </c>
      <c r="L24" s="27">
        <f t="shared" si="8"/>
        <v>0.01</v>
      </c>
      <c r="M24" s="27">
        <f t="shared" si="8"/>
        <v>0.01</v>
      </c>
      <c r="N24" s="27">
        <f t="shared" si="8"/>
        <v>0.01</v>
      </c>
      <c r="O24" s="27">
        <f t="shared" si="8"/>
        <v>0.01</v>
      </c>
    </row>
    <row r="25" spans="1:15" ht="12.75">
      <c r="A25" s="4" t="s">
        <v>152</v>
      </c>
      <c r="F25" s="13">
        <f>F21*F23</f>
        <v>140440.5</v>
      </c>
      <c r="G25" s="13">
        <f aca="true" t="shared" si="9" ref="G25:O25">G21*G23</f>
        <v>146100.25215</v>
      </c>
      <c r="H25" s="13">
        <f t="shared" si="9"/>
        <v>151988.09231164498</v>
      </c>
      <c r="I25" s="13">
        <f t="shared" si="9"/>
        <v>158113.2124318043</v>
      </c>
      <c r="J25" s="13">
        <f t="shared" si="9"/>
        <v>164485.174892806</v>
      </c>
      <c r="K25" s="13">
        <f t="shared" si="9"/>
        <v>171113.9274409861</v>
      </c>
      <c r="L25" s="13">
        <f t="shared" si="9"/>
        <v>178009.81871685784</v>
      </c>
      <c r="M25" s="13">
        <f t="shared" si="9"/>
        <v>185183.6144111472</v>
      </c>
      <c r="N25" s="13">
        <f t="shared" si="9"/>
        <v>192646.51407191643</v>
      </c>
      <c r="O25" s="13">
        <f t="shared" si="9"/>
        <v>200410.16858901465</v>
      </c>
    </row>
    <row r="26" spans="1:15" ht="12.75">
      <c r="A26" t="s">
        <v>153</v>
      </c>
      <c r="E26" s="69">
        <v>24</v>
      </c>
      <c r="F26" s="70">
        <f>E26*(1+F27)</f>
        <v>24.72</v>
      </c>
      <c r="G26" s="70">
        <f aca="true" t="shared" si="10" ref="G26:O26">F26*(1+G27)</f>
        <v>25.4616</v>
      </c>
      <c r="H26" s="70">
        <f t="shared" si="10"/>
        <v>26.225448</v>
      </c>
      <c r="I26" s="70">
        <f t="shared" si="10"/>
        <v>27.01221144</v>
      </c>
      <c r="J26" s="70">
        <f t="shared" si="10"/>
        <v>27.822577783200003</v>
      </c>
      <c r="K26" s="70">
        <f t="shared" si="10"/>
        <v>28.657255116696003</v>
      </c>
      <c r="L26" s="70">
        <f t="shared" si="10"/>
        <v>29.516972770196883</v>
      </c>
      <c r="M26" s="70">
        <f t="shared" si="10"/>
        <v>30.40248195330279</v>
      </c>
      <c r="N26" s="70">
        <f t="shared" si="10"/>
        <v>31.314556411901872</v>
      </c>
      <c r="O26" s="70">
        <f t="shared" si="10"/>
        <v>32.25399310425893</v>
      </c>
    </row>
    <row r="27" spans="1:15" ht="12.75">
      <c r="A27" t="s">
        <v>13</v>
      </c>
      <c r="F27" s="27">
        <v>0.03</v>
      </c>
      <c r="G27" s="27">
        <f>F27</f>
        <v>0.03</v>
      </c>
      <c r="H27" s="27">
        <f aca="true" t="shared" si="11" ref="H27:O27">G27</f>
        <v>0.03</v>
      </c>
      <c r="I27" s="27">
        <f t="shared" si="11"/>
        <v>0.03</v>
      </c>
      <c r="J27" s="27">
        <f t="shared" si="11"/>
        <v>0.03</v>
      </c>
      <c r="K27" s="27">
        <f t="shared" si="11"/>
        <v>0.03</v>
      </c>
      <c r="L27" s="27">
        <f t="shared" si="11"/>
        <v>0.03</v>
      </c>
      <c r="M27" s="27">
        <f t="shared" si="11"/>
        <v>0.03</v>
      </c>
      <c r="N27" s="27">
        <f t="shared" si="11"/>
        <v>0.03</v>
      </c>
      <c r="O27" s="27">
        <f t="shared" si="11"/>
        <v>0.03</v>
      </c>
    </row>
    <row r="28" spans="1:15" ht="12.75">
      <c r="A28" t="s">
        <v>154</v>
      </c>
      <c r="E28" s="29">
        <v>30000</v>
      </c>
      <c r="F28" s="6">
        <f>E28*(1+F29)</f>
        <v>30600</v>
      </c>
      <c r="G28" s="6">
        <f aca="true" t="shared" si="12" ref="G28:O28">F28*(1+G29)</f>
        <v>31212</v>
      </c>
      <c r="H28" s="6">
        <f t="shared" si="12"/>
        <v>31836.24</v>
      </c>
      <c r="I28" s="6">
        <f t="shared" si="12"/>
        <v>32472.9648</v>
      </c>
      <c r="J28" s="6">
        <f t="shared" si="12"/>
        <v>33122.424096</v>
      </c>
      <c r="K28" s="6">
        <f t="shared" si="12"/>
        <v>33784.87257792</v>
      </c>
      <c r="L28" s="6">
        <f t="shared" si="12"/>
        <v>34460.570029478404</v>
      </c>
      <c r="M28" s="6">
        <f t="shared" si="12"/>
        <v>35149.781430067975</v>
      </c>
      <c r="N28" s="6">
        <f t="shared" si="12"/>
        <v>35852.77705866934</v>
      </c>
      <c r="O28" s="6">
        <f t="shared" si="12"/>
        <v>36569.832599842724</v>
      </c>
    </row>
    <row r="29" spans="1:15" ht="12.75">
      <c r="A29" t="s">
        <v>12</v>
      </c>
      <c r="F29" s="27">
        <v>0.02</v>
      </c>
      <c r="G29" s="27">
        <f>F29</f>
        <v>0.02</v>
      </c>
      <c r="H29" s="27">
        <f aca="true" t="shared" si="13" ref="H29:O29">G29</f>
        <v>0.02</v>
      </c>
      <c r="I29" s="27">
        <f t="shared" si="13"/>
        <v>0.02</v>
      </c>
      <c r="J29" s="27">
        <f t="shared" si="13"/>
        <v>0.02</v>
      </c>
      <c r="K29" s="27">
        <f t="shared" si="13"/>
        <v>0.02</v>
      </c>
      <c r="L29" s="27">
        <f t="shared" si="13"/>
        <v>0.02</v>
      </c>
      <c r="M29" s="27">
        <f t="shared" si="13"/>
        <v>0.02</v>
      </c>
      <c r="N29" s="27">
        <f t="shared" si="13"/>
        <v>0.02</v>
      </c>
      <c r="O29" s="27">
        <f t="shared" si="13"/>
        <v>0.02</v>
      </c>
    </row>
    <row r="30" spans="1:15" ht="12.75">
      <c r="A30" s="4" t="s">
        <v>155</v>
      </c>
      <c r="F30" s="13">
        <f>F26*F28</f>
        <v>756432</v>
      </c>
      <c r="G30" s="13">
        <f aca="true" t="shared" si="14" ref="G30:O30">G26*G28</f>
        <v>794707.4592</v>
      </c>
      <c r="H30" s="13">
        <f t="shared" si="14"/>
        <v>834919.65663552</v>
      </c>
      <c r="I30" s="13">
        <f t="shared" si="14"/>
        <v>877166.5912612774</v>
      </c>
      <c r="J30" s="13">
        <f t="shared" si="14"/>
        <v>921551.2207790981</v>
      </c>
      <c r="K30" s="13">
        <f t="shared" si="14"/>
        <v>968181.7125505205</v>
      </c>
      <c r="L30" s="13">
        <f t="shared" si="14"/>
        <v>1017171.7072055768</v>
      </c>
      <c r="M30" s="13">
        <f t="shared" si="14"/>
        <v>1068640.595590179</v>
      </c>
      <c r="N30" s="13">
        <f t="shared" si="14"/>
        <v>1122713.8097270422</v>
      </c>
      <c r="O30" s="13">
        <f t="shared" si="14"/>
        <v>1179523.1284992306</v>
      </c>
    </row>
    <row r="31" spans="1:15" s="9" customFormat="1" ht="12.75">
      <c r="A31" s="55" t="s">
        <v>19</v>
      </c>
      <c r="B31" s="55"/>
      <c r="C31" s="55"/>
      <c r="D31" s="55"/>
      <c r="E31" s="55"/>
      <c r="F31" s="63">
        <f>SUM(F20,F25,F30)</f>
        <v>1325314.5</v>
      </c>
      <c r="G31" s="63">
        <f aca="true" t="shared" si="15" ref="G31:O31">SUM(G20,G25,G30)</f>
        <v>1377861.39555</v>
      </c>
      <c r="H31" s="63">
        <f t="shared" si="15"/>
        <v>1432746.212199585</v>
      </c>
      <c r="I31" s="63">
        <f t="shared" si="15"/>
        <v>1490079.6200568755</v>
      </c>
      <c r="J31" s="63">
        <f t="shared" si="15"/>
        <v>1549977.68834461</v>
      </c>
      <c r="K31" s="63">
        <f t="shared" si="15"/>
        <v>1612562.152646934</v>
      </c>
      <c r="L31" s="63">
        <f t="shared" si="15"/>
        <v>1677960.695482236</v>
      </c>
      <c r="M31" s="63">
        <f t="shared" si="15"/>
        <v>1746307.2408692797</v>
      </c>
      <c r="N31" s="63">
        <f t="shared" si="15"/>
        <v>1817742.263587358</v>
      </c>
      <c r="O31" s="63">
        <f t="shared" si="15"/>
        <v>1892413.1138663914</v>
      </c>
    </row>
    <row r="33" spans="1:15" ht="12.75">
      <c r="A33" s="61" t="s">
        <v>15</v>
      </c>
      <c r="B33" s="58"/>
      <c r="C33" s="58"/>
      <c r="D33" s="58"/>
      <c r="E33" s="58" t="s">
        <v>0</v>
      </c>
      <c r="F33" s="58" t="s">
        <v>1</v>
      </c>
      <c r="G33" s="58" t="s">
        <v>2</v>
      </c>
      <c r="H33" s="58" t="s">
        <v>3</v>
      </c>
      <c r="I33" s="58" t="s">
        <v>4</v>
      </c>
      <c r="J33" s="58" t="s">
        <v>5</v>
      </c>
      <c r="K33" s="58" t="s">
        <v>6</v>
      </c>
      <c r="L33" s="58" t="s">
        <v>7</v>
      </c>
      <c r="M33" s="58" t="s">
        <v>8</v>
      </c>
      <c r="N33" s="58" t="s">
        <v>9</v>
      </c>
      <c r="O33" s="58" t="s">
        <v>10</v>
      </c>
    </row>
    <row r="34" spans="1:15" ht="12.75">
      <c r="A34" t="s">
        <v>156</v>
      </c>
      <c r="E34" s="69">
        <v>30</v>
      </c>
      <c r="F34" s="71">
        <f>E34*(1+F35)</f>
        <v>30.6</v>
      </c>
      <c r="G34" s="71">
        <f aca="true" t="shared" si="16" ref="G34:O34">F34*(1+G35)</f>
        <v>31.212000000000003</v>
      </c>
      <c r="H34" s="71">
        <f t="shared" si="16"/>
        <v>31.836240000000004</v>
      </c>
      <c r="I34" s="71">
        <f t="shared" si="16"/>
        <v>32.47296480000001</v>
      </c>
      <c r="J34" s="71">
        <f t="shared" si="16"/>
        <v>33.12242409600001</v>
      </c>
      <c r="K34" s="71">
        <f t="shared" si="16"/>
        <v>33.78487257792001</v>
      </c>
      <c r="L34" s="71">
        <f t="shared" si="16"/>
        <v>34.46057002947841</v>
      </c>
      <c r="M34" s="71">
        <f t="shared" si="16"/>
        <v>35.14978143006798</v>
      </c>
      <c r="N34" s="71">
        <f t="shared" si="16"/>
        <v>35.85277705866934</v>
      </c>
      <c r="O34" s="71">
        <f t="shared" si="16"/>
        <v>36.56983259984273</v>
      </c>
    </row>
    <row r="35" spans="1:15" ht="12.75">
      <c r="A35" t="s">
        <v>159</v>
      </c>
      <c r="E35" s="26"/>
      <c r="F35" s="27">
        <v>0.02</v>
      </c>
      <c r="G35" s="27">
        <v>0.02</v>
      </c>
      <c r="H35" s="27">
        <v>0.02</v>
      </c>
      <c r="I35" s="27">
        <v>0.02</v>
      </c>
      <c r="J35" s="27">
        <v>0.02</v>
      </c>
      <c r="K35" s="27">
        <v>0.02</v>
      </c>
      <c r="L35" s="27">
        <v>0.02</v>
      </c>
      <c r="M35" s="27">
        <v>0.02</v>
      </c>
      <c r="N35" s="27">
        <v>0.02</v>
      </c>
      <c r="O35" s="27">
        <v>0.02</v>
      </c>
    </row>
    <row r="36" spans="1:15" ht="12.75">
      <c r="A36" t="s">
        <v>157</v>
      </c>
      <c r="E36" s="26"/>
      <c r="F36" s="35">
        <f>F18*F34</f>
        <v>309060</v>
      </c>
      <c r="G36" s="35">
        <f aca="true" t="shared" si="17" ref="G36:O36">G18*G34</f>
        <v>318393.612</v>
      </c>
      <c r="H36" s="35">
        <f t="shared" si="17"/>
        <v>328009.09908240003</v>
      </c>
      <c r="I36" s="35">
        <f t="shared" si="17"/>
        <v>337914.97387468856</v>
      </c>
      <c r="J36" s="35">
        <f t="shared" si="17"/>
        <v>348120.0060857042</v>
      </c>
      <c r="K36" s="35">
        <f t="shared" si="17"/>
        <v>358633.2302694925</v>
      </c>
      <c r="L36" s="35">
        <f t="shared" si="17"/>
        <v>369463.95382363116</v>
      </c>
      <c r="M36" s="35">
        <f t="shared" si="17"/>
        <v>380621.76522910484</v>
      </c>
      <c r="N36" s="35">
        <f t="shared" si="17"/>
        <v>392116.5425390238</v>
      </c>
      <c r="O36" s="35">
        <f t="shared" si="17"/>
        <v>403958.46212370234</v>
      </c>
    </row>
    <row r="37" spans="1:15" ht="12.75">
      <c r="A37" t="s">
        <v>158</v>
      </c>
      <c r="E37" s="69">
        <v>6</v>
      </c>
      <c r="F37" s="71">
        <f aca="true" t="shared" si="18" ref="F37:O37">E37*(1+F38)</f>
        <v>6.09</v>
      </c>
      <c r="G37" s="71">
        <f t="shared" si="18"/>
        <v>6.181349999999999</v>
      </c>
      <c r="H37" s="71">
        <f t="shared" si="18"/>
        <v>6.2740702499999985</v>
      </c>
      <c r="I37" s="71">
        <f t="shared" si="18"/>
        <v>6.3681813037499975</v>
      </c>
      <c r="J37" s="71">
        <f t="shared" si="18"/>
        <v>6.463704023306247</v>
      </c>
      <c r="K37" s="71">
        <f t="shared" si="18"/>
        <v>6.5606595836558395</v>
      </c>
      <c r="L37" s="71">
        <f t="shared" si="18"/>
        <v>6.659069477410676</v>
      </c>
      <c r="M37" s="71">
        <f t="shared" si="18"/>
        <v>6.758955519571836</v>
      </c>
      <c r="N37" s="71">
        <f t="shared" si="18"/>
        <v>6.860339852365413</v>
      </c>
      <c r="O37" s="71">
        <f t="shared" si="18"/>
        <v>6.9632449501508935</v>
      </c>
    </row>
    <row r="38" spans="1:15" ht="12.75">
      <c r="A38" t="s">
        <v>159</v>
      </c>
      <c r="F38" s="27">
        <v>0.015</v>
      </c>
      <c r="G38" s="27">
        <v>0.015</v>
      </c>
      <c r="H38" s="27">
        <v>0.015</v>
      </c>
      <c r="I38" s="27">
        <v>0.015</v>
      </c>
      <c r="J38" s="27">
        <v>0.015</v>
      </c>
      <c r="K38" s="27">
        <v>0.015</v>
      </c>
      <c r="L38" s="27">
        <v>0.015</v>
      </c>
      <c r="M38" s="27">
        <v>0.015</v>
      </c>
      <c r="N38" s="27">
        <v>0.015</v>
      </c>
      <c r="O38" s="27">
        <v>0.015</v>
      </c>
    </row>
    <row r="39" spans="1:15" ht="12.75">
      <c r="A39" t="s">
        <v>160</v>
      </c>
      <c r="F39" s="35">
        <f>F23*F37</f>
        <v>92263.5</v>
      </c>
      <c r="G39" s="35">
        <f aca="true" t="shared" si="19" ref="G39:O39">G23*G37/1000000</f>
        <v>0.09458392702499999</v>
      </c>
      <c r="H39" s="35">
        <f t="shared" si="19"/>
        <v>0.09696271278967873</v>
      </c>
      <c r="I39" s="35">
        <f t="shared" si="19"/>
        <v>0.09940132501633912</v>
      </c>
      <c r="J39" s="35">
        <f t="shared" si="19"/>
        <v>0.10190126834050005</v>
      </c>
      <c r="K39" s="35">
        <f t="shared" si="19"/>
        <v>0.10446408523926361</v>
      </c>
      <c r="L39" s="35">
        <f t="shared" si="19"/>
        <v>0.10709135698303107</v>
      </c>
      <c r="M39" s="35">
        <f t="shared" si="19"/>
        <v>0.10978470461115429</v>
      </c>
      <c r="N39" s="35">
        <f t="shared" si="19"/>
        <v>0.11254578993212482</v>
      </c>
      <c r="O39" s="35">
        <f t="shared" si="19"/>
        <v>0.11537631654891774</v>
      </c>
    </row>
    <row r="40" spans="1:15" ht="12.75">
      <c r="A40" t="s">
        <v>161</v>
      </c>
      <c r="E40" s="69">
        <v>18</v>
      </c>
      <c r="F40" s="71">
        <f aca="true" t="shared" si="20" ref="F40:O40">E40*(1+F41)</f>
        <v>18.18</v>
      </c>
      <c r="G40" s="71">
        <f t="shared" si="20"/>
        <v>18.3618</v>
      </c>
      <c r="H40" s="71">
        <f t="shared" si="20"/>
        <v>18.545417999999998</v>
      </c>
      <c r="I40" s="71">
        <f t="shared" si="20"/>
        <v>18.73087218</v>
      </c>
      <c r="J40" s="71">
        <f t="shared" si="20"/>
        <v>18.9181809018</v>
      </c>
      <c r="K40" s="71">
        <f t="shared" si="20"/>
        <v>19.107362710818</v>
      </c>
      <c r="L40" s="71">
        <f t="shared" si="20"/>
        <v>19.29843633792618</v>
      </c>
      <c r="M40" s="71">
        <f t="shared" si="20"/>
        <v>19.491420701305444</v>
      </c>
      <c r="N40" s="71">
        <f t="shared" si="20"/>
        <v>19.6863349083185</v>
      </c>
      <c r="O40" s="71">
        <f t="shared" si="20"/>
        <v>19.883198257401684</v>
      </c>
    </row>
    <row r="41" spans="1:15" ht="12.75">
      <c r="A41" t="s">
        <v>159</v>
      </c>
      <c r="E41" s="6"/>
      <c r="F41" s="27">
        <v>0.01</v>
      </c>
      <c r="G41" s="27">
        <v>0.01</v>
      </c>
      <c r="H41" s="27">
        <v>0.01</v>
      </c>
      <c r="I41" s="27">
        <v>0.01</v>
      </c>
      <c r="J41" s="27">
        <v>0.01</v>
      </c>
      <c r="K41" s="27">
        <v>0.01</v>
      </c>
      <c r="L41" s="27">
        <v>0.01</v>
      </c>
      <c r="M41" s="27">
        <v>0.01</v>
      </c>
      <c r="N41" s="27">
        <v>0.01</v>
      </c>
      <c r="O41" s="27">
        <v>0.01</v>
      </c>
    </row>
    <row r="42" spans="1:15" ht="12.75">
      <c r="A42" t="s">
        <v>162</v>
      </c>
      <c r="E42" s="6"/>
      <c r="F42" s="35">
        <f>F28*F40</f>
        <v>556308</v>
      </c>
      <c r="G42" s="35">
        <f aca="true" t="shared" si="21" ref="G42:O42">G28*G40</f>
        <v>573108.5016</v>
      </c>
      <c r="H42" s="35">
        <f t="shared" si="21"/>
        <v>590416.3783483199</v>
      </c>
      <c r="I42" s="35">
        <f t="shared" si="21"/>
        <v>608246.9529744392</v>
      </c>
      <c r="J42" s="35">
        <f t="shared" si="21"/>
        <v>626616.0109542673</v>
      </c>
      <c r="K42" s="35">
        <f t="shared" si="21"/>
        <v>645539.8144850862</v>
      </c>
      <c r="L42" s="35">
        <f t="shared" si="21"/>
        <v>665035.1168825359</v>
      </c>
      <c r="M42" s="35">
        <f t="shared" si="21"/>
        <v>685119.1774123886</v>
      </c>
      <c r="N42" s="35">
        <f t="shared" si="21"/>
        <v>705809.7765702428</v>
      </c>
      <c r="O42" s="35">
        <f t="shared" si="21"/>
        <v>727125.2318226642</v>
      </c>
    </row>
    <row r="43" spans="1:15" s="4" customFormat="1" ht="12.75">
      <c r="A43" s="4" t="s">
        <v>163</v>
      </c>
      <c r="F43" s="15">
        <f>F36+F39+F42</f>
        <v>957631.5</v>
      </c>
      <c r="G43" s="15">
        <f aca="true" t="shared" si="22" ref="G43:O43">G36+G39+G42</f>
        <v>891502.208183927</v>
      </c>
      <c r="H43" s="15">
        <f t="shared" si="22"/>
        <v>918425.5743934327</v>
      </c>
      <c r="I43" s="15">
        <f t="shared" si="22"/>
        <v>946162.0262504527</v>
      </c>
      <c r="J43" s="15">
        <f t="shared" si="22"/>
        <v>974736.1189412399</v>
      </c>
      <c r="K43" s="15">
        <f t="shared" si="22"/>
        <v>1004173.149218664</v>
      </c>
      <c r="L43" s="15">
        <f t="shared" si="22"/>
        <v>1034499.177797524</v>
      </c>
      <c r="M43" s="15">
        <f t="shared" si="22"/>
        <v>1065741.052426198</v>
      </c>
      <c r="N43" s="15">
        <f t="shared" si="22"/>
        <v>1097926.4316550565</v>
      </c>
      <c r="O43" s="15">
        <f t="shared" si="22"/>
        <v>1131083.8093226831</v>
      </c>
    </row>
    <row r="44" spans="1:15" ht="12.75">
      <c r="A44" t="s">
        <v>164</v>
      </c>
      <c r="E44" s="31">
        <v>150000</v>
      </c>
      <c r="F44" s="5">
        <f aca="true" t="shared" si="23" ref="F44:O45">E44*(1+$F$48)</f>
        <v>153000</v>
      </c>
      <c r="G44" s="5">
        <f t="shared" si="23"/>
        <v>156060</v>
      </c>
      <c r="H44" s="5">
        <f t="shared" si="23"/>
        <v>159181.2</v>
      </c>
      <c r="I44" s="5">
        <f t="shared" si="23"/>
        <v>162364.82400000002</v>
      </c>
      <c r="J44" s="5">
        <f t="shared" si="23"/>
        <v>165612.12048</v>
      </c>
      <c r="K44" s="5">
        <f t="shared" si="23"/>
        <v>168924.36288960002</v>
      </c>
      <c r="L44" s="5">
        <f t="shared" si="23"/>
        <v>172302.85014739202</v>
      </c>
      <c r="M44" s="5">
        <f t="shared" si="23"/>
        <v>175748.90715033986</v>
      </c>
      <c r="N44" s="5">
        <f t="shared" si="23"/>
        <v>179263.88529334666</v>
      </c>
      <c r="O44" s="5">
        <f t="shared" si="23"/>
        <v>182849.1629992136</v>
      </c>
    </row>
    <row r="45" spans="1:15" ht="12.75">
      <c r="A45" t="s">
        <v>165</v>
      </c>
      <c r="E45" s="31">
        <v>30000</v>
      </c>
      <c r="F45" s="5">
        <f t="shared" si="23"/>
        <v>30600</v>
      </c>
      <c r="G45" s="5">
        <f t="shared" si="23"/>
        <v>31212</v>
      </c>
      <c r="H45" s="5">
        <f t="shared" si="23"/>
        <v>31836.24</v>
      </c>
      <c r="I45" s="5">
        <f t="shared" si="23"/>
        <v>32472.9648</v>
      </c>
      <c r="J45" s="5">
        <f t="shared" si="23"/>
        <v>33122.424096</v>
      </c>
      <c r="K45" s="5">
        <f t="shared" si="23"/>
        <v>33784.87257792</v>
      </c>
      <c r="L45" s="5">
        <f t="shared" si="23"/>
        <v>34460.570029478404</v>
      </c>
      <c r="M45" s="5">
        <f t="shared" si="23"/>
        <v>35149.781430067975</v>
      </c>
      <c r="N45" s="5">
        <f t="shared" si="23"/>
        <v>35852.77705866934</v>
      </c>
      <c r="O45" s="5">
        <f t="shared" si="23"/>
        <v>36569.832599842724</v>
      </c>
    </row>
    <row r="46" spans="1:15" ht="12.75">
      <c r="A46" t="s">
        <v>16</v>
      </c>
      <c r="E46" s="31">
        <v>20000</v>
      </c>
      <c r="F46" s="5">
        <f>E46*(1+$F$48)</f>
        <v>20400</v>
      </c>
      <c r="G46" s="5">
        <f aca="true" t="shared" si="24" ref="G46:O46">F46*(1+$F$48)</f>
        <v>20808</v>
      </c>
      <c r="H46" s="5">
        <f t="shared" si="24"/>
        <v>21224.16</v>
      </c>
      <c r="I46" s="5">
        <f t="shared" si="24"/>
        <v>21648.6432</v>
      </c>
      <c r="J46" s="5">
        <f t="shared" si="24"/>
        <v>22081.616063999998</v>
      </c>
      <c r="K46" s="5">
        <f t="shared" si="24"/>
        <v>22523.24838528</v>
      </c>
      <c r="L46" s="5">
        <f t="shared" si="24"/>
        <v>22973.7133529856</v>
      </c>
      <c r="M46" s="5">
        <f t="shared" si="24"/>
        <v>23433.18762004531</v>
      </c>
      <c r="N46" s="5">
        <f t="shared" si="24"/>
        <v>23901.851372446217</v>
      </c>
      <c r="O46" s="5">
        <f t="shared" si="24"/>
        <v>24379.888399895142</v>
      </c>
    </row>
    <row r="47" spans="1:15" ht="12.75">
      <c r="A47" t="s">
        <v>166</v>
      </c>
      <c r="E47" s="31">
        <v>30000</v>
      </c>
      <c r="F47" s="5">
        <f>E47*(1+$F$48)</f>
        <v>30600</v>
      </c>
      <c r="G47" s="5">
        <f aca="true" t="shared" si="25" ref="G47:O47">F47*(1+$F$48)</f>
        <v>31212</v>
      </c>
      <c r="H47" s="5">
        <f t="shared" si="25"/>
        <v>31836.24</v>
      </c>
      <c r="I47" s="5">
        <f t="shared" si="25"/>
        <v>32472.9648</v>
      </c>
      <c r="J47" s="5">
        <f t="shared" si="25"/>
        <v>33122.424096</v>
      </c>
      <c r="K47" s="5">
        <f t="shared" si="25"/>
        <v>33784.87257792</v>
      </c>
      <c r="L47" s="5">
        <f t="shared" si="25"/>
        <v>34460.570029478404</v>
      </c>
      <c r="M47" s="5">
        <f t="shared" si="25"/>
        <v>35149.781430067975</v>
      </c>
      <c r="N47" s="5">
        <f t="shared" si="25"/>
        <v>35852.77705866934</v>
      </c>
      <c r="O47" s="5">
        <f t="shared" si="25"/>
        <v>36569.832599842724</v>
      </c>
    </row>
    <row r="48" spans="1:15" ht="12.75">
      <c r="A48" t="s">
        <v>17</v>
      </c>
      <c r="F48" s="32">
        <v>0.02</v>
      </c>
      <c r="G48" s="32">
        <f>F48</f>
        <v>0.02</v>
      </c>
      <c r="H48" s="32">
        <f aca="true" t="shared" si="26" ref="H48:O48">G48</f>
        <v>0.02</v>
      </c>
      <c r="I48" s="32">
        <f t="shared" si="26"/>
        <v>0.02</v>
      </c>
      <c r="J48" s="32">
        <f t="shared" si="26"/>
        <v>0.02</v>
      </c>
      <c r="K48" s="32">
        <f t="shared" si="26"/>
        <v>0.02</v>
      </c>
      <c r="L48" s="32">
        <f t="shared" si="26"/>
        <v>0.02</v>
      </c>
      <c r="M48" s="32">
        <f t="shared" si="26"/>
        <v>0.02</v>
      </c>
      <c r="N48" s="32">
        <f t="shared" si="26"/>
        <v>0.02</v>
      </c>
      <c r="O48" s="32">
        <f t="shared" si="26"/>
        <v>0.02</v>
      </c>
    </row>
    <row r="49" spans="1:15" s="4" customFormat="1" ht="12.75">
      <c r="A49" s="4" t="s">
        <v>167</v>
      </c>
      <c r="E49" s="10">
        <f>SUM(E44:E47)</f>
        <v>230000</v>
      </c>
      <c r="F49" s="36">
        <f aca="true" t="shared" si="27" ref="F49:O49">SUM(F44:F47)</f>
        <v>234600</v>
      </c>
      <c r="G49" s="36">
        <f t="shared" si="27"/>
        <v>239292</v>
      </c>
      <c r="H49" s="36">
        <f t="shared" si="27"/>
        <v>244077.84</v>
      </c>
      <c r="I49" s="36">
        <f t="shared" si="27"/>
        <v>248959.39680000005</v>
      </c>
      <c r="J49" s="36">
        <f t="shared" si="27"/>
        <v>253938.58473600002</v>
      </c>
      <c r="K49" s="36">
        <f t="shared" si="27"/>
        <v>259017.35643072</v>
      </c>
      <c r="L49" s="36">
        <f t="shared" si="27"/>
        <v>264197.7035593344</v>
      </c>
      <c r="M49" s="36">
        <f t="shared" si="27"/>
        <v>269481.6576305211</v>
      </c>
      <c r="N49" s="36">
        <f t="shared" si="27"/>
        <v>274871.29078313155</v>
      </c>
      <c r="O49" s="36">
        <f t="shared" si="27"/>
        <v>280368.71659879416</v>
      </c>
    </row>
    <row r="50" spans="1:15" s="9" customFormat="1" ht="12.75">
      <c r="A50" s="55" t="s">
        <v>18</v>
      </c>
      <c r="B50" s="55"/>
      <c r="C50" s="55"/>
      <c r="D50" s="55"/>
      <c r="E50" s="55"/>
      <c r="F50" s="64">
        <f>F43+F49</f>
        <v>1192231.5</v>
      </c>
      <c r="G50" s="64">
        <f aca="true" t="shared" si="28" ref="G50:O50">G43+G49</f>
        <v>1130794.208183927</v>
      </c>
      <c r="H50" s="64">
        <f t="shared" si="28"/>
        <v>1162503.4143934327</v>
      </c>
      <c r="I50" s="64">
        <f t="shared" si="28"/>
        <v>1195121.4230504527</v>
      </c>
      <c r="J50" s="64">
        <f t="shared" si="28"/>
        <v>1228674.7036772398</v>
      </c>
      <c r="K50" s="64">
        <f t="shared" si="28"/>
        <v>1263190.505649384</v>
      </c>
      <c r="L50" s="64">
        <f t="shared" si="28"/>
        <v>1298696.8813568584</v>
      </c>
      <c r="M50" s="64">
        <f t="shared" si="28"/>
        <v>1335222.7100567191</v>
      </c>
      <c r="N50" s="64">
        <f t="shared" si="28"/>
        <v>1372797.722438188</v>
      </c>
      <c r="O50" s="64">
        <f t="shared" si="28"/>
        <v>1411452.5259214772</v>
      </c>
    </row>
    <row r="51" spans="6:15" ht="12.75"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spans="1:15" s="9" customFormat="1" ht="12.75">
      <c r="A52" s="55" t="s">
        <v>20</v>
      </c>
      <c r="B52" s="55"/>
      <c r="C52" s="55"/>
      <c r="D52" s="55"/>
      <c r="E52" s="55"/>
      <c r="F52" s="64">
        <f aca="true" t="shared" si="29" ref="F52:O52">F31-F50</f>
        <v>133083</v>
      </c>
      <c r="G52" s="64">
        <f t="shared" si="29"/>
        <v>247067.18736607302</v>
      </c>
      <c r="H52" s="64">
        <f t="shared" si="29"/>
        <v>270242.7978061524</v>
      </c>
      <c r="I52" s="64">
        <f t="shared" si="29"/>
        <v>294958.1970064228</v>
      </c>
      <c r="J52" s="64">
        <f t="shared" si="29"/>
        <v>321302.9846673701</v>
      </c>
      <c r="K52" s="64">
        <f t="shared" si="29"/>
        <v>349371.6469975498</v>
      </c>
      <c r="L52" s="64">
        <f t="shared" si="29"/>
        <v>379263.8141253777</v>
      </c>
      <c r="M52" s="64">
        <f t="shared" si="29"/>
        <v>411084.5308125606</v>
      </c>
      <c r="N52" s="64">
        <f t="shared" si="29"/>
        <v>444944.5411491699</v>
      </c>
      <c r="O52" s="64">
        <f t="shared" si="29"/>
        <v>480960.5879449141</v>
      </c>
    </row>
    <row r="53" spans="1:15" ht="12.75">
      <c r="A53" t="s">
        <v>49</v>
      </c>
      <c r="G53" s="7">
        <f>G52/F52-1</f>
        <v>0.8564894642146106</v>
      </c>
      <c r="H53" s="7">
        <f aca="true" t="shared" si="30" ref="H53:O53">H52/G52-1</f>
        <v>0.09380286669043048</v>
      </c>
      <c r="I53" s="7">
        <f t="shared" si="30"/>
        <v>0.09145627339900098</v>
      </c>
      <c r="J53" s="7">
        <f t="shared" si="30"/>
        <v>0.08931702162653798</v>
      </c>
      <c r="K53" s="7">
        <f t="shared" si="30"/>
        <v>0.08735885961108592</v>
      </c>
      <c r="L53" s="7">
        <f t="shared" si="30"/>
        <v>0.08555979680869052</v>
      </c>
      <c r="M53" s="7">
        <f t="shared" si="30"/>
        <v>0.08390127268156289</v>
      </c>
      <c r="N53" s="7">
        <f t="shared" si="30"/>
        <v>0.0823675127587038</v>
      </c>
      <c r="O53" s="7">
        <f t="shared" si="30"/>
        <v>0.08094502452535912</v>
      </c>
    </row>
  </sheetData>
  <printOptions/>
  <pageMargins left="0.75" right="0.75" top="1" bottom="1" header="0" footer="0"/>
  <pageSetup fitToHeight="1" fitToWidth="1" horizontalDpi="300" verticalDpi="3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O27"/>
  <sheetViews>
    <sheetView showGridLines="0" zoomScale="75" zoomScaleNormal="75" workbookViewId="0" topLeftCell="A6">
      <selection activeCell="H11" sqref="H11"/>
    </sheetView>
  </sheetViews>
  <sheetFormatPr defaultColWidth="11.421875" defaultRowHeight="12.75"/>
  <cols>
    <col min="1" max="1" width="20.00390625" style="0" customWidth="1"/>
    <col min="4" max="4" width="12.7109375" style="0" bestFit="1" customWidth="1"/>
    <col min="5" max="5" width="12.28125" style="0" bestFit="1" customWidth="1"/>
  </cols>
  <sheetData>
    <row r="6" spans="1:15" ht="12.75">
      <c r="A6" s="60" t="s">
        <v>26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</row>
    <row r="9" spans="1:15" ht="12.75">
      <c r="A9" s="58"/>
      <c r="B9" s="58"/>
      <c r="C9" s="58"/>
      <c r="D9" s="58"/>
      <c r="E9" s="62" t="s">
        <v>0</v>
      </c>
      <c r="F9" s="62" t="s">
        <v>1</v>
      </c>
      <c r="G9" s="62" t="s">
        <v>2</v>
      </c>
      <c r="H9" s="62" t="s">
        <v>3</v>
      </c>
      <c r="I9" s="62" t="s">
        <v>4</v>
      </c>
      <c r="J9" s="62" t="s">
        <v>5</v>
      </c>
      <c r="K9" s="62" t="s">
        <v>6</v>
      </c>
      <c r="L9" s="62" t="s">
        <v>7</v>
      </c>
      <c r="M9" s="62" t="s">
        <v>8</v>
      </c>
      <c r="N9" s="62" t="s">
        <v>9</v>
      </c>
      <c r="O9" s="62" t="s">
        <v>10</v>
      </c>
    </row>
    <row r="10" spans="1:5" ht="12.75">
      <c r="A10" t="s">
        <v>24</v>
      </c>
      <c r="E10" s="29">
        <v>600000</v>
      </c>
    </row>
    <row r="11" spans="1:5" ht="12.75">
      <c r="A11" t="s">
        <v>22</v>
      </c>
      <c r="E11" s="33">
        <v>10</v>
      </c>
    </row>
    <row r="12" spans="1:5" ht="12.75">
      <c r="A12" t="s">
        <v>21</v>
      </c>
      <c r="E12" s="29">
        <v>30000</v>
      </c>
    </row>
    <row r="13" spans="1:5" ht="12.75">
      <c r="A13" t="s">
        <v>22</v>
      </c>
      <c r="E13" s="33">
        <v>5</v>
      </c>
    </row>
    <row r="14" spans="1:15" ht="12.75">
      <c r="A14" t="s">
        <v>23</v>
      </c>
      <c r="F14" s="16">
        <f>$E$10/$E$11</f>
        <v>60000</v>
      </c>
      <c r="G14" s="16">
        <f aca="true" t="shared" si="0" ref="G14:O14">$E$10/$E$11</f>
        <v>60000</v>
      </c>
      <c r="H14" s="16">
        <f t="shared" si="0"/>
        <v>60000</v>
      </c>
      <c r="I14" s="16">
        <f t="shared" si="0"/>
        <v>60000</v>
      </c>
      <c r="J14" s="16">
        <f t="shared" si="0"/>
        <v>60000</v>
      </c>
      <c r="K14" s="16">
        <f t="shared" si="0"/>
        <v>60000</v>
      </c>
      <c r="L14" s="16">
        <f t="shared" si="0"/>
        <v>60000</v>
      </c>
      <c r="M14" s="16">
        <f t="shared" si="0"/>
        <v>60000</v>
      </c>
      <c r="N14" s="16">
        <f t="shared" si="0"/>
        <v>60000</v>
      </c>
      <c r="O14" s="16">
        <f t="shared" si="0"/>
        <v>60000</v>
      </c>
    </row>
    <row r="15" spans="1:15" ht="12.75">
      <c r="A15" t="s">
        <v>25</v>
      </c>
      <c r="F15" s="16">
        <f>$E$12/$E$13</f>
        <v>6000</v>
      </c>
      <c r="G15" s="16">
        <f>$E$12/$E$13</f>
        <v>6000</v>
      </c>
      <c r="H15" s="16">
        <f>$E$12/$E$13</f>
        <v>6000</v>
      </c>
      <c r="I15" s="16">
        <f>$E$12/$E$13</f>
        <v>6000</v>
      </c>
      <c r="J15" s="16">
        <f>$E$12/$E$13</f>
        <v>6000</v>
      </c>
      <c r="K15" s="16"/>
      <c r="L15" s="16"/>
      <c r="M15" s="16"/>
      <c r="N15" s="16"/>
      <c r="O15" s="16"/>
    </row>
    <row r="17" spans="1:15" s="9" customFormat="1" ht="12.75">
      <c r="A17" s="55" t="s">
        <v>27</v>
      </c>
      <c r="B17" s="55"/>
      <c r="C17" s="55"/>
      <c r="D17" s="55"/>
      <c r="E17" s="55"/>
      <c r="F17" s="63">
        <f>SUM(F14:F15)</f>
        <v>66000</v>
      </c>
      <c r="G17" s="63">
        <f aca="true" t="shared" si="1" ref="G17:O17">SUM(G14:G15)</f>
        <v>66000</v>
      </c>
      <c r="H17" s="63">
        <f t="shared" si="1"/>
        <v>66000</v>
      </c>
      <c r="I17" s="63">
        <f t="shared" si="1"/>
        <v>66000</v>
      </c>
      <c r="J17" s="63">
        <f t="shared" si="1"/>
        <v>66000</v>
      </c>
      <c r="K17" s="63">
        <f t="shared" si="1"/>
        <v>60000</v>
      </c>
      <c r="L17" s="63">
        <f t="shared" si="1"/>
        <v>60000</v>
      </c>
      <c r="M17" s="63">
        <f t="shared" si="1"/>
        <v>60000</v>
      </c>
      <c r="N17" s="63">
        <f t="shared" si="1"/>
        <v>60000</v>
      </c>
      <c r="O17" s="63">
        <f t="shared" si="1"/>
        <v>60000</v>
      </c>
    </row>
    <row r="19" spans="1:15" ht="12.75">
      <c r="A19" s="61" t="s">
        <v>97</v>
      </c>
      <c r="B19" s="58"/>
      <c r="C19" s="58"/>
      <c r="D19" s="58"/>
      <c r="E19" s="62" t="s">
        <v>0</v>
      </c>
      <c r="F19" s="62" t="s">
        <v>1</v>
      </c>
      <c r="G19" s="62" t="s">
        <v>2</v>
      </c>
      <c r="H19" s="62" t="s">
        <v>3</v>
      </c>
      <c r="I19" s="62" t="s">
        <v>4</v>
      </c>
      <c r="J19" s="62" t="s">
        <v>5</v>
      </c>
      <c r="K19" s="62" t="s">
        <v>6</v>
      </c>
      <c r="L19" s="62" t="s">
        <v>7</v>
      </c>
      <c r="M19" s="62" t="s">
        <v>8</v>
      </c>
      <c r="N19" s="62" t="s">
        <v>9</v>
      </c>
      <c r="O19" s="62" t="s">
        <v>10</v>
      </c>
    </row>
    <row r="21" spans="1:15" ht="12.75">
      <c r="A21" t="s">
        <v>76</v>
      </c>
      <c r="E21" s="16">
        <f>E10</f>
        <v>600000</v>
      </c>
      <c r="F21" s="16">
        <f>E21</f>
        <v>600000</v>
      </c>
      <c r="G21" s="16">
        <f aca="true" t="shared" si="2" ref="G21:O21">F21</f>
        <v>600000</v>
      </c>
      <c r="H21" s="16">
        <f t="shared" si="2"/>
        <v>600000</v>
      </c>
      <c r="I21" s="16">
        <f t="shared" si="2"/>
        <v>600000</v>
      </c>
      <c r="J21" s="16">
        <f t="shared" si="2"/>
        <v>600000</v>
      </c>
      <c r="K21" s="16">
        <f t="shared" si="2"/>
        <v>600000</v>
      </c>
      <c r="L21" s="16">
        <f t="shared" si="2"/>
        <v>600000</v>
      </c>
      <c r="M21" s="16">
        <f t="shared" si="2"/>
        <v>600000</v>
      </c>
      <c r="N21" s="16">
        <f t="shared" si="2"/>
        <v>600000</v>
      </c>
      <c r="O21" s="16">
        <f t="shared" si="2"/>
        <v>600000</v>
      </c>
    </row>
    <row r="22" spans="1:15" ht="12.75">
      <c r="A22" t="s">
        <v>75</v>
      </c>
      <c r="E22" s="16">
        <v>0</v>
      </c>
      <c r="F22" s="16">
        <f>F14+E22</f>
        <v>60000</v>
      </c>
      <c r="G22" s="16">
        <f aca="true" t="shared" si="3" ref="G22:O22">G14+F22</f>
        <v>120000</v>
      </c>
      <c r="H22" s="16">
        <f t="shared" si="3"/>
        <v>180000</v>
      </c>
      <c r="I22" s="16">
        <f t="shared" si="3"/>
        <v>240000</v>
      </c>
      <c r="J22" s="16">
        <f t="shared" si="3"/>
        <v>300000</v>
      </c>
      <c r="K22" s="16">
        <f t="shared" si="3"/>
        <v>360000</v>
      </c>
      <c r="L22" s="16">
        <f t="shared" si="3"/>
        <v>420000</v>
      </c>
      <c r="M22" s="16">
        <f t="shared" si="3"/>
        <v>480000</v>
      </c>
      <c r="N22" s="16">
        <f t="shared" si="3"/>
        <v>540000</v>
      </c>
      <c r="O22" s="16">
        <f t="shared" si="3"/>
        <v>600000</v>
      </c>
    </row>
    <row r="23" spans="1:15" ht="12.75">
      <c r="A23" t="s">
        <v>77</v>
      </c>
      <c r="E23" s="16">
        <f>E21-E22</f>
        <v>600000</v>
      </c>
      <c r="F23" s="16">
        <f aca="true" t="shared" si="4" ref="F23:O23">F21-F22</f>
        <v>540000</v>
      </c>
      <c r="G23" s="16">
        <f t="shared" si="4"/>
        <v>480000</v>
      </c>
      <c r="H23" s="16">
        <f t="shared" si="4"/>
        <v>420000</v>
      </c>
      <c r="I23" s="16">
        <f t="shared" si="4"/>
        <v>360000</v>
      </c>
      <c r="J23" s="16">
        <f t="shared" si="4"/>
        <v>300000</v>
      </c>
      <c r="K23" s="16">
        <f t="shared" si="4"/>
        <v>240000</v>
      </c>
      <c r="L23" s="16">
        <f t="shared" si="4"/>
        <v>180000</v>
      </c>
      <c r="M23" s="16">
        <f t="shared" si="4"/>
        <v>120000</v>
      </c>
      <c r="N23" s="16">
        <f t="shared" si="4"/>
        <v>60000</v>
      </c>
      <c r="O23" s="16">
        <f t="shared" si="4"/>
        <v>0</v>
      </c>
    </row>
    <row r="24" spans="5:15" ht="12.75"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12.75">
      <c r="A25" t="s">
        <v>78</v>
      </c>
      <c r="E25" s="16">
        <f>E12</f>
        <v>30000</v>
      </c>
      <c r="F25" s="16">
        <f>E25</f>
        <v>30000</v>
      </c>
      <c r="G25" s="16">
        <f aca="true" t="shared" si="5" ref="G25:O25">F25</f>
        <v>30000</v>
      </c>
      <c r="H25" s="16">
        <f t="shared" si="5"/>
        <v>30000</v>
      </c>
      <c r="I25" s="16">
        <f t="shared" si="5"/>
        <v>30000</v>
      </c>
      <c r="J25" s="16">
        <f t="shared" si="5"/>
        <v>30000</v>
      </c>
      <c r="K25" s="16">
        <f t="shared" si="5"/>
        <v>30000</v>
      </c>
      <c r="L25" s="16">
        <f t="shared" si="5"/>
        <v>30000</v>
      </c>
      <c r="M25" s="16">
        <f t="shared" si="5"/>
        <v>30000</v>
      </c>
      <c r="N25" s="16">
        <f t="shared" si="5"/>
        <v>30000</v>
      </c>
      <c r="O25" s="16">
        <f t="shared" si="5"/>
        <v>30000</v>
      </c>
    </row>
    <row r="26" spans="1:15" ht="12.75">
      <c r="A26" t="s">
        <v>75</v>
      </c>
      <c r="E26" s="16">
        <v>0</v>
      </c>
      <c r="F26" s="16">
        <f>F15+E26</f>
        <v>6000</v>
      </c>
      <c r="G26" s="16">
        <f aca="true" t="shared" si="6" ref="G26:O26">G15+F26</f>
        <v>12000</v>
      </c>
      <c r="H26" s="16">
        <f t="shared" si="6"/>
        <v>18000</v>
      </c>
      <c r="I26" s="16">
        <f t="shared" si="6"/>
        <v>24000</v>
      </c>
      <c r="J26" s="16">
        <f t="shared" si="6"/>
        <v>30000</v>
      </c>
      <c r="K26" s="16">
        <f t="shared" si="6"/>
        <v>30000</v>
      </c>
      <c r="L26" s="16">
        <f t="shared" si="6"/>
        <v>30000</v>
      </c>
      <c r="M26" s="16">
        <f t="shared" si="6"/>
        <v>30000</v>
      </c>
      <c r="N26" s="16">
        <f t="shared" si="6"/>
        <v>30000</v>
      </c>
      <c r="O26" s="16">
        <f t="shared" si="6"/>
        <v>30000</v>
      </c>
    </row>
    <row r="27" spans="1:15" ht="12.75">
      <c r="A27" t="s">
        <v>79</v>
      </c>
      <c r="E27" s="16">
        <f>E25-E26</f>
        <v>30000</v>
      </c>
      <c r="F27" s="16">
        <f aca="true" t="shared" si="7" ref="F27:O27">F25-F26</f>
        <v>24000</v>
      </c>
      <c r="G27" s="16">
        <f t="shared" si="7"/>
        <v>18000</v>
      </c>
      <c r="H27" s="16">
        <f t="shared" si="7"/>
        <v>12000</v>
      </c>
      <c r="I27" s="16">
        <f t="shared" si="7"/>
        <v>6000</v>
      </c>
      <c r="J27" s="16">
        <f t="shared" si="7"/>
        <v>0</v>
      </c>
      <c r="K27" s="16">
        <f t="shared" si="7"/>
        <v>0</v>
      </c>
      <c r="L27" s="16">
        <f t="shared" si="7"/>
        <v>0</v>
      </c>
      <c r="M27" s="16">
        <f t="shared" si="7"/>
        <v>0</v>
      </c>
      <c r="N27" s="16">
        <f t="shared" si="7"/>
        <v>0</v>
      </c>
      <c r="O27" s="16">
        <f t="shared" si="7"/>
        <v>0</v>
      </c>
    </row>
  </sheetData>
  <printOptions/>
  <pageMargins left="0.75" right="0.75" top="1" bottom="1" header="0" footer="0"/>
  <pageSetup fitToHeight="1" fitToWidth="1" horizontalDpi="300" verticalDpi="300" orientation="landscape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O25"/>
  <sheetViews>
    <sheetView showGridLines="0" tabSelected="1" zoomScale="75" zoomScaleNormal="75" workbookViewId="0" topLeftCell="A1">
      <selection activeCell="G32" sqref="G32"/>
    </sheetView>
  </sheetViews>
  <sheetFormatPr defaultColWidth="11.421875" defaultRowHeight="12.75"/>
  <cols>
    <col min="1" max="1" width="13.7109375" style="0" customWidth="1"/>
    <col min="5" max="15" width="15.7109375" style="0" customWidth="1"/>
  </cols>
  <sheetData>
    <row r="6" spans="1:15" ht="12.75">
      <c r="A6" s="60" t="s">
        <v>29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</row>
    <row r="9" spans="1:15" ht="12.75">
      <c r="A9" s="58"/>
      <c r="B9" s="58"/>
      <c r="C9" s="58"/>
      <c r="D9" s="58"/>
      <c r="E9" s="62" t="s">
        <v>0</v>
      </c>
      <c r="F9" s="62" t="s">
        <v>1</v>
      </c>
      <c r="G9" s="62" t="s">
        <v>2</v>
      </c>
      <c r="H9" s="62" t="s">
        <v>3</v>
      </c>
      <c r="I9" s="62" t="s">
        <v>4</v>
      </c>
      <c r="J9" s="62" t="s">
        <v>5</v>
      </c>
      <c r="K9" s="62" t="s">
        <v>6</v>
      </c>
      <c r="L9" s="62" t="s">
        <v>7</v>
      </c>
      <c r="M9" s="62" t="s">
        <v>8</v>
      </c>
      <c r="N9" s="62" t="s">
        <v>9</v>
      </c>
      <c r="O9" s="62" t="s">
        <v>10</v>
      </c>
    </row>
    <row r="10" spans="1:5" ht="12.75">
      <c r="A10" t="s">
        <v>30</v>
      </c>
      <c r="E10" s="6">
        <f>Amortización!E10+Amortización!E12</f>
        <v>630000</v>
      </c>
    </row>
    <row r="11" spans="1:5" ht="12.75">
      <c r="A11" t="s">
        <v>31</v>
      </c>
      <c r="E11" s="32">
        <v>0.2</v>
      </c>
    </row>
    <row r="12" spans="1:5" ht="12.75">
      <c r="A12" t="s">
        <v>32</v>
      </c>
      <c r="E12" s="17">
        <f>1-E11</f>
        <v>0.8</v>
      </c>
    </row>
    <row r="13" spans="1:5" ht="12.75">
      <c r="A13" t="s">
        <v>33</v>
      </c>
      <c r="E13" s="12">
        <f>E10*E12</f>
        <v>504000</v>
      </c>
    </row>
    <row r="14" spans="1:5" ht="12.75">
      <c r="A14" t="s">
        <v>34</v>
      </c>
      <c r="E14">
        <v>10</v>
      </c>
    </row>
    <row r="15" spans="1:15" ht="12.75">
      <c r="A15" t="s">
        <v>35</v>
      </c>
      <c r="E15" s="12"/>
      <c r="F15" s="20">
        <f>E13/E14</f>
        <v>50400</v>
      </c>
      <c r="G15" s="20">
        <f aca="true" t="shared" si="0" ref="G15:O15">F15</f>
        <v>50400</v>
      </c>
      <c r="H15" s="20">
        <f t="shared" si="0"/>
        <v>50400</v>
      </c>
      <c r="I15" s="20">
        <f t="shared" si="0"/>
        <v>50400</v>
      </c>
      <c r="J15" s="20">
        <f t="shared" si="0"/>
        <v>50400</v>
      </c>
      <c r="K15" s="20">
        <f t="shared" si="0"/>
        <v>50400</v>
      </c>
      <c r="L15" s="20">
        <f t="shared" si="0"/>
        <v>50400</v>
      </c>
      <c r="M15" s="20">
        <f t="shared" si="0"/>
        <v>50400</v>
      </c>
      <c r="N15" s="20">
        <f t="shared" si="0"/>
        <v>50400</v>
      </c>
      <c r="O15" s="20">
        <f t="shared" si="0"/>
        <v>50400</v>
      </c>
    </row>
    <row r="16" spans="1:15" ht="12.75">
      <c r="A16" t="s">
        <v>36</v>
      </c>
      <c r="E16" s="18">
        <f>E13</f>
        <v>504000</v>
      </c>
      <c r="F16" s="16">
        <f>E16-F15</f>
        <v>453600</v>
      </c>
      <c r="G16" s="16">
        <f aca="true" t="shared" si="1" ref="G16:O16">F16-G15</f>
        <v>403200</v>
      </c>
      <c r="H16" s="16">
        <f t="shared" si="1"/>
        <v>352800</v>
      </c>
      <c r="I16" s="16">
        <f t="shared" si="1"/>
        <v>302400</v>
      </c>
      <c r="J16" s="16">
        <f t="shared" si="1"/>
        <v>252000</v>
      </c>
      <c r="K16" s="16">
        <f t="shared" si="1"/>
        <v>201600</v>
      </c>
      <c r="L16" s="16">
        <f t="shared" si="1"/>
        <v>151200</v>
      </c>
      <c r="M16" s="16">
        <f t="shared" si="1"/>
        <v>100800</v>
      </c>
      <c r="N16" s="16">
        <f t="shared" si="1"/>
        <v>50400</v>
      </c>
      <c r="O16" s="16">
        <f t="shared" si="1"/>
        <v>0</v>
      </c>
    </row>
    <row r="17" spans="1:15" ht="12.75">
      <c r="A17" t="s">
        <v>37</v>
      </c>
      <c r="E17" s="18"/>
      <c r="F17" s="16">
        <f>(E16+F16)/2</f>
        <v>478800</v>
      </c>
      <c r="G17" s="16">
        <f aca="true" t="shared" si="2" ref="G17:O17">(F16+G16)/2</f>
        <v>428400</v>
      </c>
      <c r="H17" s="16">
        <f t="shared" si="2"/>
        <v>378000</v>
      </c>
      <c r="I17" s="16">
        <f t="shared" si="2"/>
        <v>327600</v>
      </c>
      <c r="J17" s="16">
        <f t="shared" si="2"/>
        <v>277200</v>
      </c>
      <c r="K17" s="16">
        <f t="shared" si="2"/>
        <v>226800</v>
      </c>
      <c r="L17" s="16">
        <f t="shared" si="2"/>
        <v>176400</v>
      </c>
      <c r="M17" s="16">
        <f t="shared" si="2"/>
        <v>126000</v>
      </c>
      <c r="N17" s="16">
        <f t="shared" si="2"/>
        <v>75600</v>
      </c>
      <c r="O17" s="16">
        <f t="shared" si="2"/>
        <v>25200</v>
      </c>
    </row>
    <row r="18" spans="1:15" ht="12.75">
      <c r="A18" t="s">
        <v>142</v>
      </c>
      <c r="E18" s="34">
        <v>0.04</v>
      </c>
      <c r="F18" s="7">
        <f>E17:E18</f>
        <v>0.04</v>
      </c>
      <c r="G18" s="7">
        <f aca="true" t="shared" si="3" ref="G18:O18">F17:F18</f>
        <v>0.04</v>
      </c>
      <c r="H18" s="7">
        <f t="shared" si="3"/>
        <v>0.04</v>
      </c>
      <c r="I18" s="7">
        <f t="shared" si="3"/>
        <v>0.04</v>
      </c>
      <c r="J18" s="7">
        <f t="shared" si="3"/>
        <v>0.04</v>
      </c>
      <c r="K18" s="7">
        <f t="shared" si="3"/>
        <v>0.04</v>
      </c>
      <c r="L18" s="7">
        <f t="shared" si="3"/>
        <v>0.04</v>
      </c>
      <c r="M18" s="7">
        <f t="shared" si="3"/>
        <v>0.04</v>
      </c>
      <c r="N18" s="7">
        <f t="shared" si="3"/>
        <v>0.04</v>
      </c>
      <c r="O18" s="7">
        <f t="shared" si="3"/>
        <v>0.04</v>
      </c>
    </row>
    <row r="19" spans="1:15" ht="12.75">
      <c r="A19" t="s">
        <v>143</v>
      </c>
      <c r="E19" s="34">
        <v>0.01</v>
      </c>
      <c r="F19" s="7">
        <f>E18:E19</f>
        <v>0.01</v>
      </c>
      <c r="G19" s="7">
        <f aca="true" t="shared" si="4" ref="G19:O19">F18:F19</f>
        <v>0.01</v>
      </c>
      <c r="H19" s="7">
        <f t="shared" si="4"/>
        <v>0.01</v>
      </c>
      <c r="I19" s="7">
        <f t="shared" si="4"/>
        <v>0.01</v>
      </c>
      <c r="J19" s="7">
        <f t="shared" si="4"/>
        <v>0.01</v>
      </c>
      <c r="K19" s="7">
        <f t="shared" si="4"/>
        <v>0.01</v>
      </c>
      <c r="L19" s="7">
        <f t="shared" si="4"/>
        <v>0.01</v>
      </c>
      <c r="M19" s="7">
        <f t="shared" si="4"/>
        <v>0.01</v>
      </c>
      <c r="N19" s="7">
        <f t="shared" si="4"/>
        <v>0.01</v>
      </c>
      <c r="O19" s="7">
        <f t="shared" si="4"/>
        <v>0.01</v>
      </c>
    </row>
    <row r="20" spans="1:15" ht="12.75">
      <c r="A20" t="s">
        <v>38</v>
      </c>
      <c r="E20" s="19">
        <f>SUM(E18:E19)</f>
        <v>0.05</v>
      </c>
      <c r="F20" s="19">
        <f aca="true" t="shared" si="5" ref="F20:O20">SUM(F18:F19)</f>
        <v>0.05</v>
      </c>
      <c r="G20" s="19">
        <f t="shared" si="5"/>
        <v>0.05</v>
      </c>
      <c r="H20" s="19">
        <f t="shared" si="5"/>
        <v>0.05</v>
      </c>
      <c r="I20" s="19">
        <f t="shared" si="5"/>
        <v>0.05</v>
      </c>
      <c r="J20" s="19">
        <f t="shared" si="5"/>
        <v>0.05</v>
      </c>
      <c r="K20" s="19">
        <f t="shared" si="5"/>
        <v>0.05</v>
      </c>
      <c r="L20" s="19">
        <f t="shared" si="5"/>
        <v>0.05</v>
      </c>
      <c r="M20" s="19">
        <f t="shared" si="5"/>
        <v>0.05</v>
      </c>
      <c r="N20" s="19">
        <f t="shared" si="5"/>
        <v>0.05</v>
      </c>
      <c r="O20" s="19">
        <f t="shared" si="5"/>
        <v>0.05</v>
      </c>
    </row>
    <row r="21" spans="5:15" ht="12.75"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</row>
    <row r="22" spans="1:15" ht="12.75">
      <c r="A22" s="58"/>
      <c r="B22" s="58"/>
      <c r="C22" s="58"/>
      <c r="D22" s="58"/>
      <c r="E22" s="65" t="s">
        <v>0</v>
      </c>
      <c r="F22" s="65" t="s">
        <v>1</v>
      </c>
      <c r="G22" s="65" t="s">
        <v>2</v>
      </c>
      <c r="H22" s="65" t="s">
        <v>3</v>
      </c>
      <c r="I22" s="65" t="s">
        <v>4</v>
      </c>
      <c r="J22" s="65" t="s">
        <v>5</v>
      </c>
      <c r="K22" s="65" t="s">
        <v>6</v>
      </c>
      <c r="L22" s="65" t="s">
        <v>7</v>
      </c>
      <c r="M22" s="65" t="s">
        <v>8</v>
      </c>
      <c r="N22" s="65" t="s">
        <v>9</v>
      </c>
      <c r="O22" s="65" t="s">
        <v>10</v>
      </c>
    </row>
    <row r="23" spans="1:15" s="4" customFormat="1" ht="12.75">
      <c r="A23" s="4" t="s">
        <v>39</v>
      </c>
      <c r="E23" s="13"/>
      <c r="F23" s="13">
        <f>F17*F20</f>
        <v>23940</v>
      </c>
      <c r="G23" s="13">
        <f aca="true" t="shared" si="6" ref="G23:O23">G17*G20</f>
        <v>21420</v>
      </c>
      <c r="H23" s="13">
        <f t="shared" si="6"/>
        <v>18900</v>
      </c>
      <c r="I23" s="13">
        <f t="shared" si="6"/>
        <v>16380</v>
      </c>
      <c r="J23" s="13">
        <f t="shared" si="6"/>
        <v>13860</v>
      </c>
      <c r="K23" s="13">
        <f t="shared" si="6"/>
        <v>11340</v>
      </c>
      <c r="L23" s="13">
        <f t="shared" si="6"/>
        <v>8820</v>
      </c>
      <c r="M23" s="13">
        <f t="shared" si="6"/>
        <v>6300</v>
      </c>
      <c r="N23" s="13">
        <f t="shared" si="6"/>
        <v>3780</v>
      </c>
      <c r="O23" s="13">
        <f t="shared" si="6"/>
        <v>1260</v>
      </c>
    </row>
    <row r="24" spans="5:15" ht="12.75"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s="4" customFormat="1" ht="12.75">
      <c r="A25" s="61" t="s">
        <v>40</v>
      </c>
      <c r="B25" s="61"/>
      <c r="C25" s="61"/>
      <c r="D25" s="61"/>
      <c r="E25" s="66"/>
      <c r="F25" s="66">
        <f>F23+F15</f>
        <v>74340</v>
      </c>
      <c r="G25" s="66">
        <f aca="true" t="shared" si="7" ref="G25:O25">G23+G15</f>
        <v>71820</v>
      </c>
      <c r="H25" s="66">
        <f t="shared" si="7"/>
        <v>69300</v>
      </c>
      <c r="I25" s="66">
        <f t="shared" si="7"/>
        <v>66780</v>
      </c>
      <c r="J25" s="66">
        <f t="shared" si="7"/>
        <v>64260</v>
      </c>
      <c r="K25" s="66">
        <f t="shared" si="7"/>
        <v>61740</v>
      </c>
      <c r="L25" s="66">
        <f t="shared" si="7"/>
        <v>59220</v>
      </c>
      <c r="M25" s="66">
        <f t="shared" si="7"/>
        <v>56700</v>
      </c>
      <c r="N25" s="66">
        <f t="shared" si="7"/>
        <v>54180</v>
      </c>
      <c r="O25" s="66">
        <f t="shared" si="7"/>
        <v>51660</v>
      </c>
    </row>
  </sheetData>
  <printOptions/>
  <pageMargins left="0.75" right="0.75" top="1" bottom="1" header="0" footer="0"/>
  <pageSetup fitToHeight="1" fitToWidth="1" horizontalDpi="300" verticalDpi="300" orientation="landscape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O87"/>
  <sheetViews>
    <sheetView showGridLines="0" zoomScale="75" zoomScaleNormal="75" workbookViewId="0" topLeftCell="A62">
      <selection activeCell="F5" sqref="F5"/>
    </sheetView>
  </sheetViews>
  <sheetFormatPr defaultColWidth="11.421875" defaultRowHeight="12.75"/>
  <cols>
    <col min="1" max="1" width="30.57421875" style="0" customWidth="1"/>
    <col min="5" max="15" width="15.7109375" style="0" customWidth="1"/>
  </cols>
  <sheetData>
    <row r="6" spans="1:15" ht="12.75">
      <c r="A6" s="60" t="s">
        <v>41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</row>
    <row r="9" spans="1:15" ht="12.75">
      <c r="A9" s="58"/>
      <c r="B9" s="58"/>
      <c r="C9" s="58"/>
      <c r="D9" s="58"/>
      <c r="E9" s="62" t="s">
        <v>0</v>
      </c>
      <c r="F9" s="62" t="s">
        <v>1</v>
      </c>
      <c r="G9" s="62" t="s">
        <v>2</v>
      </c>
      <c r="H9" s="62" t="s">
        <v>3</v>
      </c>
      <c r="I9" s="62" t="s">
        <v>4</v>
      </c>
      <c r="J9" s="62" t="s">
        <v>5</v>
      </c>
      <c r="K9" s="62" t="s">
        <v>6</v>
      </c>
      <c r="L9" s="62" t="s">
        <v>7</v>
      </c>
      <c r="M9" s="62" t="s">
        <v>8</v>
      </c>
      <c r="N9" s="62" t="s">
        <v>9</v>
      </c>
      <c r="O9" s="62" t="s">
        <v>10</v>
      </c>
    </row>
    <row r="10" spans="1:15" ht="12.75">
      <c r="A10" t="s">
        <v>51</v>
      </c>
      <c r="F10" s="16">
        <f>'Margen bruto'!F31</f>
        <v>1325314.5</v>
      </c>
      <c r="G10" s="16">
        <f>'Margen bruto'!G31</f>
        <v>1377861.39555</v>
      </c>
      <c r="H10" s="16">
        <f>'Margen bruto'!H31</f>
        <v>1432746.212199585</v>
      </c>
      <c r="I10" s="16">
        <f>'Margen bruto'!I31</f>
        <v>1490079.6200568755</v>
      </c>
      <c r="J10" s="16">
        <f>'Margen bruto'!J31</f>
        <v>1549977.68834461</v>
      </c>
      <c r="K10" s="16">
        <f>'Margen bruto'!K31</f>
        <v>1612562.152646934</v>
      </c>
      <c r="L10" s="16">
        <f>'Margen bruto'!L31</f>
        <v>1677960.695482236</v>
      </c>
      <c r="M10" s="16">
        <f>'Margen bruto'!M31</f>
        <v>1746307.2408692797</v>
      </c>
      <c r="N10" s="16">
        <f>'Margen bruto'!N31</f>
        <v>1817742.263587358</v>
      </c>
      <c r="O10" s="16">
        <f>'Margen bruto'!O31</f>
        <v>1892413.1138663914</v>
      </c>
    </row>
    <row r="11" spans="1:15" ht="12.75">
      <c r="A11" t="s">
        <v>52</v>
      </c>
      <c r="F11" s="16">
        <f>'Margen bruto'!F50</f>
        <v>1192231.5</v>
      </c>
      <c r="G11" s="16">
        <f>'Margen bruto'!G50</f>
        <v>1130794.208183927</v>
      </c>
      <c r="H11" s="16">
        <f>'Margen bruto'!H50</f>
        <v>1162503.4143934327</v>
      </c>
      <c r="I11" s="16">
        <f>'Margen bruto'!I50</f>
        <v>1195121.4230504527</v>
      </c>
      <c r="J11" s="16">
        <f>'Margen bruto'!J50</f>
        <v>1228674.7036772398</v>
      </c>
      <c r="K11" s="16">
        <f>'Margen bruto'!K50</f>
        <v>1263190.505649384</v>
      </c>
      <c r="L11" s="16">
        <f>'Margen bruto'!L50</f>
        <v>1298696.8813568584</v>
      </c>
      <c r="M11" s="16">
        <f>'Margen bruto'!M50</f>
        <v>1335222.7100567191</v>
      </c>
      <c r="N11" s="16">
        <f>'Margen bruto'!N50</f>
        <v>1372797.722438188</v>
      </c>
      <c r="O11" s="16">
        <f>'Margen bruto'!O50</f>
        <v>1411452.5259214772</v>
      </c>
    </row>
    <row r="12" spans="1:15" ht="12.75">
      <c r="A12" t="s">
        <v>42</v>
      </c>
      <c r="F12" s="18">
        <f>'Margen bruto'!F52</f>
        <v>133083</v>
      </c>
      <c r="G12" s="18">
        <f>'Margen bruto'!G52</f>
        <v>247067.18736607302</v>
      </c>
      <c r="H12" s="18">
        <f>'Margen bruto'!H52</f>
        <v>270242.7978061524</v>
      </c>
      <c r="I12" s="18">
        <f>'Margen bruto'!I52</f>
        <v>294958.1970064228</v>
      </c>
      <c r="J12" s="18">
        <f>'Margen bruto'!J52</f>
        <v>321302.9846673701</v>
      </c>
      <c r="K12" s="18">
        <f>'Margen bruto'!K52</f>
        <v>349371.6469975498</v>
      </c>
      <c r="L12" s="18">
        <f>'Margen bruto'!L52</f>
        <v>379263.8141253777</v>
      </c>
      <c r="M12" s="18">
        <f>'Margen bruto'!M52</f>
        <v>411084.5308125606</v>
      </c>
      <c r="N12" s="18">
        <f>'Margen bruto'!N52</f>
        <v>444944.5411491699</v>
      </c>
      <c r="O12" s="18">
        <f>'Margen bruto'!O52</f>
        <v>480960.5879449141</v>
      </c>
    </row>
    <row r="13" spans="6:15" ht="12.75"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12.75">
      <c r="A14" t="s">
        <v>43</v>
      </c>
      <c r="F14" s="16">
        <f>Amortización!F17</f>
        <v>66000</v>
      </c>
      <c r="G14" s="16">
        <f>Amortización!G17</f>
        <v>66000</v>
      </c>
      <c r="H14" s="16">
        <f>Amortización!H17</f>
        <v>66000</v>
      </c>
      <c r="I14" s="16">
        <f>Amortización!I17</f>
        <v>66000</v>
      </c>
      <c r="J14" s="16">
        <f>Amortización!J17</f>
        <v>66000</v>
      </c>
      <c r="K14" s="16">
        <f>Amortización!K17</f>
        <v>60000</v>
      </c>
      <c r="L14" s="16">
        <f>Amortización!L17</f>
        <v>60000</v>
      </c>
      <c r="M14" s="16">
        <f>Amortización!M17</f>
        <v>60000</v>
      </c>
      <c r="N14" s="16">
        <f>Amortización!N17</f>
        <v>60000</v>
      </c>
      <c r="O14" s="16">
        <f>Amortización!O17</f>
        <v>60000</v>
      </c>
    </row>
    <row r="15" spans="1:15" ht="12.75">
      <c r="A15" t="s">
        <v>44</v>
      </c>
      <c r="F15" s="16">
        <f>Deuda!F23</f>
        <v>23940</v>
      </c>
      <c r="G15" s="16">
        <f>Deuda!G23</f>
        <v>21420</v>
      </c>
      <c r="H15" s="16">
        <f>Deuda!H23</f>
        <v>18900</v>
      </c>
      <c r="I15" s="16">
        <f>Deuda!I23</f>
        <v>16380</v>
      </c>
      <c r="J15" s="16">
        <f>Deuda!J23</f>
        <v>13860</v>
      </c>
      <c r="K15" s="16">
        <f>Deuda!K23</f>
        <v>11340</v>
      </c>
      <c r="L15" s="16">
        <f>Deuda!L23</f>
        <v>8820</v>
      </c>
      <c r="M15" s="16">
        <f>Deuda!M23</f>
        <v>6300</v>
      </c>
      <c r="N15" s="16">
        <f>Deuda!N23</f>
        <v>3780</v>
      </c>
      <c r="O15" s="16">
        <f>Deuda!O23</f>
        <v>1260</v>
      </c>
    </row>
    <row r="16" spans="1:15" ht="12.75">
      <c r="A16" t="s">
        <v>45</v>
      </c>
      <c r="F16" s="16">
        <f>F12-F14-F15</f>
        <v>43143</v>
      </c>
      <c r="G16" s="16">
        <f aca="true" t="shared" si="0" ref="G16:O16">G12-G14-G15</f>
        <v>159647.18736607302</v>
      </c>
      <c r="H16" s="16">
        <f t="shared" si="0"/>
        <v>185342.79780615238</v>
      </c>
      <c r="I16" s="16">
        <f t="shared" si="0"/>
        <v>212578.1970064228</v>
      </c>
      <c r="J16" s="16">
        <f t="shared" si="0"/>
        <v>241442.9846673701</v>
      </c>
      <c r="K16" s="16">
        <f t="shared" si="0"/>
        <v>278031.6469975498</v>
      </c>
      <c r="L16" s="16">
        <f t="shared" si="0"/>
        <v>310443.8141253777</v>
      </c>
      <c r="M16" s="16">
        <f t="shared" si="0"/>
        <v>344784.5308125606</v>
      </c>
      <c r="N16" s="16">
        <f t="shared" si="0"/>
        <v>381164.5411491699</v>
      </c>
      <c r="O16" s="16">
        <f t="shared" si="0"/>
        <v>419700.5879449141</v>
      </c>
    </row>
    <row r="17" spans="1:15" ht="12.75">
      <c r="A17" t="s">
        <v>48</v>
      </c>
      <c r="E17" s="32">
        <v>0.35</v>
      </c>
      <c r="F17" s="17">
        <f>E17</f>
        <v>0.35</v>
      </c>
      <c r="G17" s="17">
        <f aca="true" t="shared" si="1" ref="G17:O17">F17</f>
        <v>0.35</v>
      </c>
      <c r="H17" s="17">
        <f t="shared" si="1"/>
        <v>0.35</v>
      </c>
      <c r="I17" s="17">
        <f t="shared" si="1"/>
        <v>0.35</v>
      </c>
      <c r="J17" s="17">
        <f t="shared" si="1"/>
        <v>0.35</v>
      </c>
      <c r="K17" s="17">
        <f t="shared" si="1"/>
        <v>0.35</v>
      </c>
      <c r="L17" s="17">
        <f t="shared" si="1"/>
        <v>0.35</v>
      </c>
      <c r="M17" s="17">
        <f t="shared" si="1"/>
        <v>0.35</v>
      </c>
      <c r="N17" s="17">
        <f t="shared" si="1"/>
        <v>0.35</v>
      </c>
      <c r="O17" s="17">
        <f t="shared" si="1"/>
        <v>0.35</v>
      </c>
    </row>
    <row r="18" spans="1:15" ht="12.75">
      <c r="A18" t="s">
        <v>47</v>
      </c>
      <c r="F18" s="16">
        <f>IF(F16*F17&gt;0,F16*F17,0)</f>
        <v>15100.05</v>
      </c>
      <c r="G18" s="16">
        <f aca="true" t="shared" si="2" ref="G18:O18">IF(G16*G17&gt;0,G16*G17,0)</f>
        <v>55876.51557812555</v>
      </c>
      <c r="H18" s="16">
        <f t="shared" si="2"/>
        <v>64869.979232153324</v>
      </c>
      <c r="I18" s="16">
        <f t="shared" si="2"/>
        <v>74402.36895224797</v>
      </c>
      <c r="J18" s="16">
        <f t="shared" si="2"/>
        <v>84505.04463357953</v>
      </c>
      <c r="K18" s="16">
        <f t="shared" si="2"/>
        <v>97311.07644914242</v>
      </c>
      <c r="L18" s="16">
        <f t="shared" si="2"/>
        <v>108655.33494388219</v>
      </c>
      <c r="M18" s="16">
        <f t="shared" si="2"/>
        <v>120674.5857843962</v>
      </c>
      <c r="N18" s="16">
        <f t="shared" si="2"/>
        <v>133407.58940220947</v>
      </c>
      <c r="O18" s="16">
        <f t="shared" si="2"/>
        <v>146895.20578071993</v>
      </c>
    </row>
    <row r="19" spans="1:15" s="4" customFormat="1" ht="12.75">
      <c r="A19" s="61" t="s">
        <v>46</v>
      </c>
      <c r="B19" s="61"/>
      <c r="C19" s="61"/>
      <c r="D19" s="61"/>
      <c r="E19" s="61"/>
      <c r="F19" s="66">
        <f>F16-F18</f>
        <v>28042.95</v>
      </c>
      <c r="G19" s="66">
        <f aca="true" t="shared" si="3" ref="G19:O19">G16-G18</f>
        <v>103770.67178794747</v>
      </c>
      <c r="H19" s="66">
        <f t="shared" si="3"/>
        <v>120472.81857399904</v>
      </c>
      <c r="I19" s="66">
        <f t="shared" si="3"/>
        <v>138175.82805417484</v>
      </c>
      <c r="J19" s="66">
        <f t="shared" si="3"/>
        <v>156937.94003379057</v>
      </c>
      <c r="K19" s="66">
        <f t="shared" si="3"/>
        <v>180720.57054840738</v>
      </c>
      <c r="L19" s="66">
        <f t="shared" si="3"/>
        <v>201788.4791814955</v>
      </c>
      <c r="M19" s="66">
        <f t="shared" si="3"/>
        <v>224109.94502816437</v>
      </c>
      <c r="N19" s="66">
        <f t="shared" si="3"/>
        <v>247756.95174696043</v>
      </c>
      <c r="O19" s="66">
        <f t="shared" si="3"/>
        <v>272805.3821641942</v>
      </c>
    </row>
    <row r="20" spans="1:15" ht="12.75">
      <c r="A20" t="s">
        <v>49</v>
      </c>
      <c r="G20" s="7">
        <f>G19/F19-1</f>
        <v>2.700419242196255</v>
      </c>
      <c r="H20" s="7">
        <f aca="true" t="shared" si="4" ref="H20:O20">H19/G19-1</f>
        <v>0.16095247817400615</v>
      </c>
      <c r="I20" s="7">
        <f t="shared" si="4"/>
        <v>0.14694608866731151</v>
      </c>
      <c r="J20" s="7">
        <f t="shared" si="4"/>
        <v>0.13578432815513608</v>
      </c>
      <c r="K20" s="7">
        <f t="shared" si="4"/>
        <v>0.15154162536793936</v>
      </c>
      <c r="L20" s="7">
        <f t="shared" si="4"/>
        <v>0.11657725830079158</v>
      </c>
      <c r="M20" s="7">
        <f t="shared" si="4"/>
        <v>0.11061813804836795</v>
      </c>
      <c r="N20" s="7">
        <f t="shared" si="4"/>
        <v>0.1055152046725294</v>
      </c>
      <c r="O20" s="7">
        <f t="shared" si="4"/>
        <v>0.10110081771919877</v>
      </c>
    </row>
    <row r="22" spans="1:15" ht="12.75">
      <c r="A22" s="60" t="s">
        <v>50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4" spans="1:15" ht="12.75">
      <c r="A24" s="58"/>
      <c r="B24" s="58"/>
      <c r="C24" s="58"/>
      <c r="D24" s="58"/>
      <c r="E24" s="62" t="s">
        <v>0</v>
      </c>
      <c r="F24" s="62" t="s">
        <v>1</v>
      </c>
      <c r="G24" s="62" t="s">
        <v>2</v>
      </c>
      <c r="H24" s="62" t="s">
        <v>3</v>
      </c>
      <c r="I24" s="62" t="s">
        <v>4</v>
      </c>
      <c r="J24" s="62" t="s">
        <v>5</v>
      </c>
      <c r="K24" s="62" t="s">
        <v>6</v>
      </c>
      <c r="L24" s="62" t="s">
        <v>7</v>
      </c>
      <c r="M24" s="62" t="s">
        <v>8</v>
      </c>
      <c r="N24" s="62" t="s">
        <v>9</v>
      </c>
      <c r="O24" s="62" t="s">
        <v>10</v>
      </c>
    </row>
    <row r="25" spans="1:15" ht="12.75">
      <c r="A25" t="s">
        <v>42</v>
      </c>
      <c r="F25" s="16">
        <f>F12</f>
        <v>133083</v>
      </c>
      <c r="G25" s="16">
        <f aca="true" t="shared" si="5" ref="G25:O25">G12</f>
        <v>247067.18736607302</v>
      </c>
      <c r="H25" s="16">
        <f t="shared" si="5"/>
        <v>270242.7978061524</v>
      </c>
      <c r="I25" s="16">
        <f t="shared" si="5"/>
        <v>294958.1970064228</v>
      </c>
      <c r="J25" s="16">
        <f t="shared" si="5"/>
        <v>321302.9846673701</v>
      </c>
      <c r="K25" s="16">
        <f t="shared" si="5"/>
        <v>349371.6469975498</v>
      </c>
      <c r="L25" s="16">
        <f t="shared" si="5"/>
        <v>379263.8141253777</v>
      </c>
      <c r="M25" s="16">
        <f t="shared" si="5"/>
        <v>411084.5308125606</v>
      </c>
      <c r="N25" s="16">
        <f t="shared" si="5"/>
        <v>444944.5411491699</v>
      </c>
      <c r="O25" s="16">
        <f t="shared" si="5"/>
        <v>480960.5879449141</v>
      </c>
    </row>
    <row r="26" spans="1:15" ht="12.75">
      <c r="A26" t="s">
        <v>47</v>
      </c>
      <c r="F26" s="16">
        <f>F18</f>
        <v>15100.05</v>
      </c>
      <c r="G26" s="16">
        <f aca="true" t="shared" si="6" ref="G26:O26">G18</f>
        <v>55876.51557812555</v>
      </c>
      <c r="H26" s="16">
        <f t="shared" si="6"/>
        <v>64869.979232153324</v>
      </c>
      <c r="I26" s="16">
        <f t="shared" si="6"/>
        <v>74402.36895224797</v>
      </c>
      <c r="J26" s="16">
        <f t="shared" si="6"/>
        <v>84505.04463357953</v>
      </c>
      <c r="K26" s="16">
        <f t="shared" si="6"/>
        <v>97311.07644914242</v>
      </c>
      <c r="L26" s="16">
        <f t="shared" si="6"/>
        <v>108655.33494388219</v>
      </c>
      <c r="M26" s="16">
        <f t="shared" si="6"/>
        <v>120674.5857843962</v>
      </c>
      <c r="N26" s="16">
        <f t="shared" si="6"/>
        <v>133407.58940220947</v>
      </c>
      <c r="O26" s="16">
        <f t="shared" si="6"/>
        <v>146895.20578071993</v>
      </c>
    </row>
    <row r="27" spans="1:15" ht="12.75">
      <c r="A27" t="s">
        <v>53</v>
      </c>
      <c r="F27" s="16">
        <f>F30-E30</f>
        <v>39759.435000000034</v>
      </c>
      <c r="G27" s="16">
        <f aca="true" t="shared" si="7" ref="G27:O27">G30-F30</f>
        <v>1576.4068665000013</v>
      </c>
      <c r="H27" s="16">
        <f t="shared" si="7"/>
        <v>1646.5444994875506</v>
      </c>
      <c r="I27" s="16">
        <f t="shared" si="7"/>
        <v>1720.002235718719</v>
      </c>
      <c r="J27" s="16">
        <f t="shared" si="7"/>
        <v>1796.9420486320305</v>
      </c>
      <c r="K27" s="16">
        <f t="shared" si="7"/>
        <v>1877.533929069723</v>
      </c>
      <c r="L27" s="16">
        <f t="shared" si="7"/>
        <v>1961.9562850590664</v>
      </c>
      <c r="M27" s="16">
        <f t="shared" si="7"/>
        <v>2050.3963616113106</v>
      </c>
      <c r="N27" s="16">
        <f t="shared" si="7"/>
        <v>2143.0506815423505</v>
      </c>
      <c r="O27" s="16">
        <f t="shared" si="7"/>
        <v>2240.1255083710057</v>
      </c>
    </row>
    <row r="28" spans="6:15" ht="12.75"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15" ht="12.75">
      <c r="A29" t="s">
        <v>54</v>
      </c>
      <c r="E29" s="1"/>
      <c r="F29" s="1">
        <f>F32+F34+F36-F38</f>
        <v>0.030000000000000027</v>
      </c>
      <c r="G29" s="1">
        <f aca="true" t="shared" si="8" ref="G29:O29">G32+G34+G36-G38</f>
        <v>0.030000000000000027</v>
      </c>
      <c r="H29" s="1">
        <f t="shared" si="8"/>
        <v>0.030000000000000027</v>
      </c>
      <c r="I29" s="1">
        <f t="shared" si="8"/>
        <v>0.030000000000000027</v>
      </c>
      <c r="J29" s="1">
        <f t="shared" si="8"/>
        <v>0.030000000000000027</v>
      </c>
      <c r="K29" s="1">
        <f t="shared" si="8"/>
        <v>0.030000000000000027</v>
      </c>
      <c r="L29" s="1">
        <f t="shared" si="8"/>
        <v>0.030000000000000027</v>
      </c>
      <c r="M29" s="1">
        <f t="shared" si="8"/>
        <v>0.030000000000000027</v>
      </c>
      <c r="N29" s="1">
        <f t="shared" si="8"/>
        <v>0.030000000000000027</v>
      </c>
      <c r="O29" s="1">
        <f t="shared" si="8"/>
        <v>0.030000000000000027</v>
      </c>
    </row>
    <row r="30" spans="1:15" ht="12.75">
      <c r="A30" t="s">
        <v>55</v>
      </c>
      <c r="F30" s="16">
        <f>F$10*F29</f>
        <v>39759.435000000034</v>
      </c>
      <c r="G30" s="16">
        <f aca="true" t="shared" si="9" ref="G30:O30">G$10*G29</f>
        <v>41335.841866500035</v>
      </c>
      <c r="H30" s="16">
        <f t="shared" si="9"/>
        <v>42982.386365987586</v>
      </c>
      <c r="I30" s="16">
        <f t="shared" si="9"/>
        <v>44702.388601706305</v>
      </c>
      <c r="J30" s="16">
        <f t="shared" si="9"/>
        <v>46499.330650338336</v>
      </c>
      <c r="K30" s="16">
        <f t="shared" si="9"/>
        <v>48376.86457940806</v>
      </c>
      <c r="L30" s="16">
        <f t="shared" si="9"/>
        <v>50338.820864467125</v>
      </c>
      <c r="M30" s="16">
        <f t="shared" si="9"/>
        <v>52389.217226078435</v>
      </c>
      <c r="N30" s="16">
        <f t="shared" si="9"/>
        <v>54532.267907620786</v>
      </c>
      <c r="O30" s="16">
        <f t="shared" si="9"/>
        <v>56772.39341599179</v>
      </c>
    </row>
    <row r="31" spans="1:15" ht="12.75">
      <c r="A31" t="s">
        <v>68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ht="12.75">
      <c r="A32" t="s">
        <v>69</v>
      </c>
      <c r="F32" s="32">
        <v>0.02</v>
      </c>
      <c r="G32" s="1">
        <f>F32</f>
        <v>0.02</v>
      </c>
      <c r="H32" s="1">
        <f aca="true" t="shared" si="10" ref="H32:O32">G32</f>
        <v>0.02</v>
      </c>
      <c r="I32" s="1">
        <f t="shared" si="10"/>
        <v>0.02</v>
      </c>
      <c r="J32" s="1">
        <f t="shared" si="10"/>
        <v>0.02</v>
      </c>
      <c r="K32" s="1">
        <f t="shared" si="10"/>
        <v>0.02</v>
      </c>
      <c r="L32" s="1">
        <f t="shared" si="10"/>
        <v>0.02</v>
      </c>
      <c r="M32" s="1">
        <f t="shared" si="10"/>
        <v>0.02</v>
      </c>
      <c r="N32" s="1">
        <f t="shared" si="10"/>
        <v>0.02</v>
      </c>
      <c r="O32" s="1">
        <f t="shared" si="10"/>
        <v>0.02</v>
      </c>
    </row>
    <row r="33" spans="1:15" ht="12.75">
      <c r="A33" t="s">
        <v>70</v>
      </c>
      <c r="F33" s="16">
        <f>F$10*F32</f>
        <v>26506.29</v>
      </c>
      <c r="G33" s="16">
        <f aca="true" t="shared" si="11" ref="G33:O33">G$10*G32</f>
        <v>27557.227911</v>
      </c>
      <c r="H33" s="16">
        <f t="shared" si="11"/>
        <v>28654.9242439917</v>
      </c>
      <c r="I33" s="16">
        <f t="shared" si="11"/>
        <v>29801.59240113751</v>
      </c>
      <c r="J33" s="16">
        <f t="shared" si="11"/>
        <v>30999.5537668922</v>
      </c>
      <c r="K33" s="16">
        <f t="shared" si="11"/>
        <v>32251.24305293868</v>
      </c>
      <c r="L33" s="16">
        <f t="shared" si="11"/>
        <v>33559.21390964472</v>
      </c>
      <c r="M33" s="16">
        <f t="shared" si="11"/>
        <v>34926.1448173856</v>
      </c>
      <c r="N33" s="16">
        <f t="shared" si="11"/>
        <v>36354.84527174716</v>
      </c>
      <c r="O33" s="16">
        <f t="shared" si="11"/>
        <v>37848.26227732783</v>
      </c>
    </row>
    <row r="34" spans="1:15" ht="12.75">
      <c r="A34" t="s">
        <v>71</v>
      </c>
      <c r="F34" s="32">
        <v>0.08</v>
      </c>
      <c r="G34" s="1">
        <f>F34</f>
        <v>0.08</v>
      </c>
      <c r="H34" s="1">
        <f aca="true" t="shared" si="12" ref="H34:O34">G34</f>
        <v>0.08</v>
      </c>
      <c r="I34" s="1">
        <f t="shared" si="12"/>
        <v>0.08</v>
      </c>
      <c r="J34" s="1">
        <f t="shared" si="12"/>
        <v>0.08</v>
      </c>
      <c r="K34" s="1">
        <f t="shared" si="12"/>
        <v>0.08</v>
      </c>
      <c r="L34" s="1">
        <f t="shared" si="12"/>
        <v>0.08</v>
      </c>
      <c r="M34" s="1">
        <f t="shared" si="12"/>
        <v>0.08</v>
      </c>
      <c r="N34" s="1">
        <f t="shared" si="12"/>
        <v>0.08</v>
      </c>
      <c r="O34" s="1">
        <f t="shared" si="12"/>
        <v>0.08</v>
      </c>
    </row>
    <row r="35" spans="1:15" ht="12.75">
      <c r="A35" t="s">
        <v>72</v>
      </c>
      <c r="F35" s="16">
        <f>F$10*F34</f>
        <v>106025.16</v>
      </c>
      <c r="G35" s="16">
        <f aca="true" t="shared" si="13" ref="G35:O35">G$10*G34</f>
        <v>110228.911644</v>
      </c>
      <c r="H35" s="16">
        <f t="shared" si="13"/>
        <v>114619.6969759668</v>
      </c>
      <c r="I35" s="16">
        <f t="shared" si="13"/>
        <v>119206.36960455004</v>
      </c>
      <c r="J35" s="16">
        <f t="shared" si="13"/>
        <v>123998.2150675688</v>
      </c>
      <c r="K35" s="16">
        <f t="shared" si="13"/>
        <v>129004.97221175472</v>
      </c>
      <c r="L35" s="16">
        <f t="shared" si="13"/>
        <v>134236.85563857888</v>
      </c>
      <c r="M35" s="16">
        <f t="shared" si="13"/>
        <v>139704.5792695424</v>
      </c>
      <c r="N35" s="16">
        <f t="shared" si="13"/>
        <v>145419.38108698864</v>
      </c>
      <c r="O35" s="16">
        <f t="shared" si="13"/>
        <v>151393.0491093113</v>
      </c>
    </row>
    <row r="36" spans="1:15" ht="12.75">
      <c r="A36" t="s">
        <v>168</v>
      </c>
      <c r="F36" s="32">
        <v>0.05</v>
      </c>
      <c r="G36" s="1">
        <f>F36</f>
        <v>0.05</v>
      </c>
      <c r="H36" s="1">
        <f aca="true" t="shared" si="14" ref="H36:O36">G36</f>
        <v>0.05</v>
      </c>
      <c r="I36" s="1">
        <f t="shared" si="14"/>
        <v>0.05</v>
      </c>
      <c r="J36" s="1">
        <f t="shared" si="14"/>
        <v>0.05</v>
      </c>
      <c r="K36" s="1">
        <f t="shared" si="14"/>
        <v>0.05</v>
      </c>
      <c r="L36" s="1">
        <f t="shared" si="14"/>
        <v>0.05</v>
      </c>
      <c r="M36" s="1">
        <f t="shared" si="14"/>
        <v>0.05</v>
      </c>
      <c r="N36" s="1">
        <f t="shared" si="14"/>
        <v>0.05</v>
      </c>
      <c r="O36" s="1">
        <f t="shared" si="14"/>
        <v>0.05</v>
      </c>
    </row>
    <row r="37" spans="1:15" ht="12.75">
      <c r="A37" t="s">
        <v>169</v>
      </c>
      <c r="F37" s="16">
        <f>F$10*F36</f>
        <v>66265.725</v>
      </c>
      <c r="G37" s="16">
        <f>G$10*G36</f>
        <v>68893.0697775</v>
      </c>
      <c r="H37" s="16">
        <f aca="true" t="shared" si="15" ref="H37:O37">H$10*H36</f>
        <v>71637.31060997925</v>
      </c>
      <c r="I37" s="16">
        <f t="shared" si="15"/>
        <v>74503.98100284378</v>
      </c>
      <c r="J37" s="16">
        <f t="shared" si="15"/>
        <v>77498.8844172305</v>
      </c>
      <c r="K37" s="16">
        <f t="shared" si="15"/>
        <v>80628.1076323467</v>
      </c>
      <c r="L37" s="16">
        <f t="shared" si="15"/>
        <v>83898.03477411182</v>
      </c>
      <c r="M37" s="16">
        <f t="shared" si="15"/>
        <v>87315.36204346399</v>
      </c>
      <c r="N37" s="16">
        <f t="shared" si="15"/>
        <v>90887.11317936791</v>
      </c>
      <c r="O37" s="16">
        <f t="shared" si="15"/>
        <v>94620.65569331957</v>
      </c>
    </row>
    <row r="38" spans="1:15" ht="12.75">
      <c r="A38" t="s">
        <v>73</v>
      </c>
      <c r="F38" s="32">
        <v>0.12</v>
      </c>
      <c r="G38" s="1">
        <f>F38</f>
        <v>0.12</v>
      </c>
      <c r="H38" s="1">
        <f aca="true" t="shared" si="16" ref="H38:O38">G38</f>
        <v>0.12</v>
      </c>
      <c r="I38" s="1">
        <f t="shared" si="16"/>
        <v>0.12</v>
      </c>
      <c r="J38" s="1">
        <f t="shared" si="16"/>
        <v>0.12</v>
      </c>
      <c r="K38" s="1">
        <f t="shared" si="16"/>
        <v>0.12</v>
      </c>
      <c r="L38" s="1">
        <f t="shared" si="16"/>
        <v>0.12</v>
      </c>
      <c r="M38" s="1">
        <f t="shared" si="16"/>
        <v>0.12</v>
      </c>
      <c r="N38" s="1">
        <f t="shared" si="16"/>
        <v>0.12</v>
      </c>
      <c r="O38" s="1">
        <f t="shared" si="16"/>
        <v>0.12</v>
      </c>
    </row>
    <row r="39" spans="1:15" ht="12.75">
      <c r="A39" t="s">
        <v>74</v>
      </c>
      <c r="F39" s="16">
        <f>F$10*F38</f>
        <v>159037.74</v>
      </c>
      <c r="G39" s="16">
        <f aca="true" t="shared" si="17" ref="G39:O39">G$10*G38</f>
        <v>165343.367466</v>
      </c>
      <c r="H39" s="16">
        <f t="shared" si="17"/>
        <v>171929.5454639502</v>
      </c>
      <c r="I39" s="16">
        <f t="shared" si="17"/>
        <v>178809.55440682505</v>
      </c>
      <c r="J39" s="16">
        <f t="shared" si="17"/>
        <v>185997.3226013532</v>
      </c>
      <c r="K39" s="16">
        <f t="shared" si="17"/>
        <v>193507.45831763206</v>
      </c>
      <c r="L39" s="16">
        <f t="shared" si="17"/>
        <v>201355.28345786833</v>
      </c>
      <c r="M39" s="16">
        <f t="shared" si="17"/>
        <v>209556.86890431357</v>
      </c>
      <c r="N39" s="16">
        <f t="shared" si="17"/>
        <v>218129.07163048294</v>
      </c>
      <c r="O39" s="16">
        <f t="shared" si="17"/>
        <v>227089.57366396696</v>
      </c>
    </row>
    <row r="41" spans="1:15" s="4" customFormat="1" ht="12.75">
      <c r="A41" s="61" t="s">
        <v>61</v>
      </c>
      <c r="B41" s="61"/>
      <c r="C41" s="61"/>
      <c r="D41" s="61"/>
      <c r="E41" s="61"/>
      <c r="F41" s="66">
        <f>F25-F26-F27</f>
        <v>78223.51499999996</v>
      </c>
      <c r="G41" s="66">
        <f aca="true" t="shared" si="18" ref="G41:O41">G25-G26-G27</f>
        <v>189614.26492144747</v>
      </c>
      <c r="H41" s="66">
        <f t="shared" si="18"/>
        <v>203726.2740745115</v>
      </c>
      <c r="I41" s="66">
        <f t="shared" si="18"/>
        <v>218835.82581845613</v>
      </c>
      <c r="J41" s="66">
        <f t="shared" si="18"/>
        <v>235000.99798515852</v>
      </c>
      <c r="K41" s="66">
        <f t="shared" si="18"/>
        <v>250183.03661933765</v>
      </c>
      <c r="L41" s="66">
        <f t="shared" si="18"/>
        <v>268646.52289643645</v>
      </c>
      <c r="M41" s="66">
        <f t="shared" si="18"/>
        <v>288359.54866655305</v>
      </c>
      <c r="N41" s="66">
        <f t="shared" si="18"/>
        <v>309393.90106541803</v>
      </c>
      <c r="O41" s="66">
        <f t="shared" si="18"/>
        <v>331825.2566558232</v>
      </c>
    </row>
    <row r="43" spans="1:15" ht="12.75">
      <c r="A43" s="60" t="s">
        <v>57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</row>
    <row r="45" spans="1:15" ht="12.75">
      <c r="A45" s="58"/>
      <c r="B45" s="58"/>
      <c r="C45" s="58"/>
      <c r="D45" s="58"/>
      <c r="E45" s="62" t="s">
        <v>0</v>
      </c>
      <c r="F45" s="62" t="s">
        <v>1</v>
      </c>
      <c r="G45" s="62" t="s">
        <v>2</v>
      </c>
      <c r="H45" s="62" t="s">
        <v>3</v>
      </c>
      <c r="I45" s="62" t="s">
        <v>4</v>
      </c>
      <c r="J45" s="62" t="s">
        <v>5</v>
      </c>
      <c r="K45" s="62" t="s">
        <v>6</v>
      </c>
      <c r="L45" s="62" t="s">
        <v>7</v>
      </c>
      <c r="M45" s="62" t="s">
        <v>8</v>
      </c>
      <c r="N45" s="62" t="s">
        <v>9</v>
      </c>
      <c r="O45" s="62" t="s">
        <v>10</v>
      </c>
    </row>
    <row r="46" spans="1:15" ht="12.75">
      <c r="A46" t="s">
        <v>56</v>
      </c>
      <c r="F46" s="16">
        <f>F41</f>
        <v>78223.51499999996</v>
      </c>
      <c r="G46" s="16">
        <f aca="true" t="shared" si="19" ref="G46:O46">G41</f>
        <v>189614.26492144747</v>
      </c>
      <c r="H46" s="16">
        <f t="shared" si="19"/>
        <v>203726.2740745115</v>
      </c>
      <c r="I46" s="16">
        <f t="shared" si="19"/>
        <v>218835.82581845613</v>
      </c>
      <c r="J46" s="16">
        <f t="shared" si="19"/>
        <v>235000.99798515852</v>
      </c>
      <c r="K46" s="16">
        <f t="shared" si="19"/>
        <v>250183.03661933765</v>
      </c>
      <c r="L46" s="16">
        <f t="shared" si="19"/>
        <v>268646.52289643645</v>
      </c>
      <c r="M46" s="16">
        <f t="shared" si="19"/>
        <v>288359.54866655305</v>
      </c>
      <c r="N46" s="16">
        <f t="shared" si="19"/>
        <v>309393.90106541803</v>
      </c>
      <c r="O46" s="16">
        <f t="shared" si="19"/>
        <v>331825.2566558232</v>
      </c>
    </row>
    <row r="48" spans="1:15" ht="12.75">
      <c r="A48" t="s">
        <v>91</v>
      </c>
      <c r="F48" s="16">
        <f>Deuda!F25</f>
        <v>74340</v>
      </c>
      <c r="G48" s="16">
        <f>Deuda!G25</f>
        <v>71820</v>
      </c>
      <c r="H48" s="16">
        <f>Deuda!H25</f>
        <v>69300</v>
      </c>
      <c r="I48" s="16">
        <f>Deuda!I25</f>
        <v>66780</v>
      </c>
      <c r="J48" s="16">
        <f>Deuda!J25</f>
        <v>64260</v>
      </c>
      <c r="K48" s="16">
        <f>Deuda!K25</f>
        <v>61740</v>
      </c>
      <c r="L48" s="16">
        <f>Deuda!L25</f>
        <v>59220</v>
      </c>
      <c r="M48" s="16">
        <f>Deuda!M25</f>
        <v>56700</v>
      </c>
      <c r="N48" s="16">
        <f>Deuda!N25</f>
        <v>54180</v>
      </c>
      <c r="O48" s="16">
        <f>Deuda!O25</f>
        <v>51660</v>
      </c>
    </row>
    <row r="50" spans="1:15" ht="12.75">
      <c r="A50" s="61" t="s">
        <v>58</v>
      </c>
      <c r="B50" s="58"/>
      <c r="C50" s="58"/>
      <c r="D50" s="58"/>
      <c r="E50" s="58"/>
      <c r="F50" s="67">
        <f>F46/F48</f>
        <v>1.0522399112187242</v>
      </c>
      <c r="G50" s="67">
        <f aca="true" t="shared" si="20" ref="G50:O50">G46/G48</f>
        <v>2.6401317867090985</v>
      </c>
      <c r="H50" s="67">
        <f t="shared" si="20"/>
        <v>2.9397730746682753</v>
      </c>
      <c r="I50" s="67">
        <f t="shared" si="20"/>
        <v>3.276966544151784</v>
      </c>
      <c r="J50" s="67">
        <f t="shared" si="20"/>
        <v>3.6570338933264632</v>
      </c>
      <c r="K50" s="67">
        <f t="shared" si="20"/>
        <v>4.052203378998018</v>
      </c>
      <c r="L50" s="67">
        <f t="shared" si="20"/>
        <v>4.536415449112402</v>
      </c>
      <c r="M50" s="67">
        <f t="shared" si="20"/>
        <v>5.085706325688767</v>
      </c>
      <c r="N50" s="67">
        <f t="shared" si="20"/>
        <v>5.710481747239166</v>
      </c>
      <c r="O50" s="67">
        <f t="shared" si="20"/>
        <v>6.423253129226156</v>
      </c>
    </row>
    <row r="51" ht="12.75">
      <c r="G51" s="21"/>
    </row>
    <row r="52" spans="1:15" ht="12.75">
      <c r="A52" s="60" t="s">
        <v>59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</row>
    <row r="53" spans="5:15" ht="12.75" hidden="1">
      <c r="E53">
        <v>0</v>
      </c>
      <c r="F53">
        <v>1</v>
      </c>
      <c r="G53">
        <v>2</v>
      </c>
      <c r="H53">
        <v>3</v>
      </c>
      <c r="I53">
        <v>4</v>
      </c>
      <c r="J53">
        <v>5</v>
      </c>
      <c r="K53">
        <v>6</v>
      </c>
      <c r="L53">
        <v>7</v>
      </c>
      <c r="M53">
        <v>8</v>
      </c>
      <c r="N53">
        <v>9</v>
      </c>
      <c r="O53">
        <v>10</v>
      </c>
    </row>
    <row r="55" spans="1:15" ht="12.75">
      <c r="A55" s="58"/>
      <c r="B55" s="58"/>
      <c r="C55" s="58"/>
      <c r="D55" s="58"/>
      <c r="E55" s="62" t="s">
        <v>0</v>
      </c>
      <c r="F55" s="62" t="s">
        <v>1</v>
      </c>
      <c r="G55" s="62" t="s">
        <v>2</v>
      </c>
      <c r="H55" s="62" t="s">
        <v>3</v>
      </c>
      <c r="I55" s="62" t="s">
        <v>4</v>
      </c>
      <c r="J55" s="62" t="s">
        <v>5</v>
      </c>
      <c r="K55" s="62" t="s">
        <v>6</v>
      </c>
      <c r="L55" s="62" t="s">
        <v>7</v>
      </c>
      <c r="M55" s="62" t="s">
        <v>8</v>
      </c>
      <c r="N55" s="62" t="s">
        <v>9</v>
      </c>
      <c r="O55" s="62" t="s">
        <v>10</v>
      </c>
    </row>
    <row r="56" spans="1:15" ht="12.75">
      <c r="A56" t="s">
        <v>61</v>
      </c>
      <c r="E56">
        <v>0</v>
      </c>
      <c r="F56" s="16">
        <f>F46</f>
        <v>78223.51499999996</v>
      </c>
      <c r="G56" s="16">
        <f aca="true" t="shared" si="21" ref="G56:O56">G46</f>
        <v>189614.26492144747</v>
      </c>
      <c r="H56" s="16">
        <f t="shared" si="21"/>
        <v>203726.2740745115</v>
      </c>
      <c r="I56" s="16">
        <f t="shared" si="21"/>
        <v>218835.82581845613</v>
      </c>
      <c r="J56" s="16">
        <f t="shared" si="21"/>
        <v>235000.99798515852</v>
      </c>
      <c r="K56" s="16">
        <f t="shared" si="21"/>
        <v>250183.03661933765</v>
      </c>
      <c r="L56" s="16">
        <f t="shared" si="21"/>
        <v>268646.52289643645</v>
      </c>
      <c r="M56" s="16">
        <f t="shared" si="21"/>
        <v>288359.54866655305</v>
      </c>
      <c r="N56" s="16">
        <f t="shared" si="21"/>
        <v>309393.90106541803</v>
      </c>
      <c r="O56" s="16">
        <f t="shared" si="21"/>
        <v>331825.2566558232</v>
      </c>
    </row>
    <row r="57" spans="1:15" ht="12.75">
      <c r="A57" t="s">
        <v>62</v>
      </c>
      <c r="E57" s="32">
        <v>0.05</v>
      </c>
      <c r="F57" s="1">
        <f>E57</f>
        <v>0.05</v>
      </c>
      <c r="G57" s="1">
        <f aca="true" t="shared" si="22" ref="G57:O57">F57</f>
        <v>0.05</v>
      </c>
      <c r="H57" s="1">
        <f t="shared" si="22"/>
        <v>0.05</v>
      </c>
      <c r="I57" s="1">
        <f t="shared" si="22"/>
        <v>0.05</v>
      </c>
      <c r="J57" s="1">
        <f t="shared" si="22"/>
        <v>0.05</v>
      </c>
      <c r="K57" s="1">
        <f t="shared" si="22"/>
        <v>0.05</v>
      </c>
      <c r="L57" s="1">
        <f t="shared" si="22"/>
        <v>0.05</v>
      </c>
      <c r="M57" s="1">
        <f t="shared" si="22"/>
        <v>0.05</v>
      </c>
      <c r="N57" s="1">
        <f t="shared" si="22"/>
        <v>0.05</v>
      </c>
      <c r="O57" s="1">
        <f t="shared" si="22"/>
        <v>0.05</v>
      </c>
    </row>
    <row r="58" spans="1:15" ht="12.75">
      <c r="A58" t="s">
        <v>60</v>
      </c>
      <c r="D58" t="s">
        <v>0</v>
      </c>
      <c r="E58" s="21">
        <f>(1+E$57)^E$53</f>
        <v>1</v>
      </c>
      <c r="F58" s="21">
        <f>(1+F$57)^F$53</f>
        <v>1.05</v>
      </c>
      <c r="G58" s="21">
        <f aca="true" t="shared" si="23" ref="G58:O58">(1+G$57)^G$53</f>
        <v>1.1025</v>
      </c>
      <c r="H58" s="21">
        <f t="shared" si="23"/>
        <v>1.1576250000000001</v>
      </c>
      <c r="I58" s="21">
        <f t="shared" si="23"/>
        <v>1.21550625</v>
      </c>
      <c r="J58" s="21">
        <f t="shared" si="23"/>
        <v>1.2762815625000001</v>
      </c>
      <c r="K58" s="21">
        <f t="shared" si="23"/>
        <v>1.340095640625</v>
      </c>
      <c r="L58" s="21">
        <f t="shared" si="23"/>
        <v>1.4071004226562502</v>
      </c>
      <c r="M58" s="21">
        <f t="shared" si="23"/>
        <v>1.4774554437890626</v>
      </c>
      <c r="N58" s="21">
        <f t="shared" si="23"/>
        <v>1.5513282159785158</v>
      </c>
      <c r="O58" s="21">
        <f t="shared" si="23"/>
        <v>1.6288946267774416</v>
      </c>
    </row>
    <row r="59" spans="4:15" ht="12.75">
      <c r="D59" t="s">
        <v>1</v>
      </c>
      <c r="F59" s="21">
        <f>(1+F$57)^E$53</f>
        <v>1</v>
      </c>
      <c r="G59" s="21">
        <f aca="true" t="shared" si="24" ref="G59:O59">(1+G$57)^F$53</f>
        <v>1.05</v>
      </c>
      <c r="H59" s="21">
        <f t="shared" si="24"/>
        <v>1.1025</v>
      </c>
      <c r="I59" s="21">
        <f t="shared" si="24"/>
        <v>1.1576250000000001</v>
      </c>
      <c r="J59" s="21">
        <f t="shared" si="24"/>
        <v>1.21550625</v>
      </c>
      <c r="K59" s="21">
        <f t="shared" si="24"/>
        <v>1.2762815625000001</v>
      </c>
      <c r="L59" s="21">
        <f t="shared" si="24"/>
        <v>1.340095640625</v>
      </c>
      <c r="M59" s="21">
        <f t="shared" si="24"/>
        <v>1.4071004226562502</v>
      </c>
      <c r="N59" s="21">
        <f t="shared" si="24"/>
        <v>1.4774554437890626</v>
      </c>
      <c r="O59" s="21">
        <f t="shared" si="24"/>
        <v>1.5513282159785158</v>
      </c>
    </row>
    <row r="60" spans="4:15" ht="12.75">
      <c r="D60" t="s">
        <v>2</v>
      </c>
      <c r="G60" s="21">
        <f>(1+G$57)^E$53</f>
        <v>1</v>
      </c>
      <c r="H60" s="21">
        <f aca="true" t="shared" si="25" ref="H60:O60">(1+H$57)^F$53</f>
        <v>1.05</v>
      </c>
      <c r="I60" s="21">
        <f t="shared" si="25"/>
        <v>1.1025</v>
      </c>
      <c r="J60" s="21">
        <f t="shared" si="25"/>
        <v>1.1576250000000001</v>
      </c>
      <c r="K60" s="21">
        <f t="shared" si="25"/>
        <v>1.21550625</v>
      </c>
      <c r="L60" s="21">
        <f t="shared" si="25"/>
        <v>1.2762815625000001</v>
      </c>
      <c r="M60" s="21">
        <f t="shared" si="25"/>
        <v>1.340095640625</v>
      </c>
      <c r="N60" s="21">
        <f t="shared" si="25"/>
        <v>1.4071004226562502</v>
      </c>
      <c r="O60" s="21">
        <f t="shared" si="25"/>
        <v>1.4774554437890626</v>
      </c>
    </row>
    <row r="61" spans="4:15" ht="12.75">
      <c r="D61" t="s">
        <v>3</v>
      </c>
      <c r="H61" s="21">
        <f>(1+H$57)^E$53</f>
        <v>1</v>
      </c>
      <c r="I61" s="21">
        <f aca="true" t="shared" si="26" ref="I61:O61">(1+I$57)^F$53</f>
        <v>1.05</v>
      </c>
      <c r="J61" s="21">
        <f t="shared" si="26"/>
        <v>1.1025</v>
      </c>
      <c r="K61" s="21">
        <f t="shared" si="26"/>
        <v>1.1576250000000001</v>
      </c>
      <c r="L61" s="21">
        <f t="shared" si="26"/>
        <v>1.21550625</v>
      </c>
      <c r="M61" s="21">
        <f t="shared" si="26"/>
        <v>1.2762815625000001</v>
      </c>
      <c r="N61" s="21">
        <f t="shared" si="26"/>
        <v>1.340095640625</v>
      </c>
      <c r="O61" s="21">
        <f t="shared" si="26"/>
        <v>1.4071004226562502</v>
      </c>
    </row>
    <row r="62" spans="4:15" ht="12.75">
      <c r="D62" t="s">
        <v>4</v>
      </c>
      <c r="I62" s="21">
        <f>(1+I$57)^E$53</f>
        <v>1</v>
      </c>
      <c r="J62" s="21">
        <f aca="true" t="shared" si="27" ref="J62:O62">(1+J$57)^F$53</f>
        <v>1.05</v>
      </c>
      <c r="K62" s="21">
        <f t="shared" si="27"/>
        <v>1.1025</v>
      </c>
      <c r="L62" s="21">
        <f t="shared" si="27"/>
        <v>1.1576250000000001</v>
      </c>
      <c r="M62" s="21">
        <f t="shared" si="27"/>
        <v>1.21550625</v>
      </c>
      <c r="N62" s="21">
        <f t="shared" si="27"/>
        <v>1.2762815625000001</v>
      </c>
      <c r="O62" s="21">
        <f t="shared" si="27"/>
        <v>1.340095640625</v>
      </c>
    </row>
    <row r="63" spans="4:15" ht="12.75">
      <c r="D63" t="s">
        <v>5</v>
      </c>
      <c r="I63" s="21"/>
      <c r="J63" s="21">
        <f aca="true" t="shared" si="28" ref="J63:O63">(1+J$57)^E$53</f>
        <v>1</v>
      </c>
      <c r="K63" s="21">
        <f t="shared" si="28"/>
        <v>1.05</v>
      </c>
      <c r="L63" s="21">
        <f t="shared" si="28"/>
        <v>1.1025</v>
      </c>
      <c r="M63" s="21">
        <f t="shared" si="28"/>
        <v>1.1576250000000001</v>
      </c>
      <c r="N63" s="21">
        <f t="shared" si="28"/>
        <v>1.21550625</v>
      </c>
      <c r="O63" s="21">
        <f t="shared" si="28"/>
        <v>1.2762815625000001</v>
      </c>
    </row>
    <row r="64" spans="4:15" ht="12.75">
      <c r="D64" t="s">
        <v>6</v>
      </c>
      <c r="I64" s="21"/>
      <c r="J64" s="21"/>
      <c r="K64" s="21">
        <f>(1+K$57)^E$53</f>
        <v>1</v>
      </c>
      <c r="L64" s="21">
        <f>(1+L$57)^F$53</f>
        <v>1.05</v>
      </c>
      <c r="M64" s="21">
        <f>(1+M$57)^G$53</f>
        <v>1.1025</v>
      </c>
      <c r="N64" s="21">
        <f>(1+N$57)^H$53</f>
        <v>1.1576250000000001</v>
      </c>
      <c r="O64" s="21">
        <f>(1+O$57)^I$53</f>
        <v>1.21550625</v>
      </c>
    </row>
    <row r="65" spans="4:15" ht="12.75">
      <c r="D65" t="s">
        <v>7</v>
      </c>
      <c r="I65" s="21"/>
      <c r="J65" s="21"/>
      <c r="K65" s="21"/>
      <c r="L65" s="21">
        <f>(1+L$57)^E$53</f>
        <v>1</v>
      </c>
      <c r="M65" s="21">
        <f>(1+M$57)^F$53</f>
        <v>1.05</v>
      </c>
      <c r="N65" s="21">
        <f>(1+N$57)^G$53</f>
        <v>1.1025</v>
      </c>
      <c r="O65" s="21">
        <f>(1+O$57)^H$53</f>
        <v>1.1576250000000001</v>
      </c>
    </row>
    <row r="66" spans="4:15" ht="12.75">
      <c r="D66" t="s">
        <v>8</v>
      </c>
      <c r="I66" s="21"/>
      <c r="J66" s="21"/>
      <c r="K66" s="21"/>
      <c r="L66" s="21"/>
      <c r="M66" s="21">
        <f>(1+M$57)^E$53</f>
        <v>1</v>
      </c>
      <c r="N66" s="21">
        <f>(1+N$57)^F$53</f>
        <v>1.05</v>
      </c>
      <c r="O66" s="21">
        <f>(1+O$57)^G$53</f>
        <v>1.1025</v>
      </c>
    </row>
    <row r="67" spans="4:15" ht="12.75">
      <c r="D67" t="s">
        <v>9</v>
      </c>
      <c r="I67" s="21"/>
      <c r="J67" s="21"/>
      <c r="K67" s="21"/>
      <c r="L67" s="21"/>
      <c r="M67" s="21"/>
      <c r="N67" s="21">
        <f>(1+N$57)^E$53</f>
        <v>1</v>
      </c>
      <c r="O67" s="21">
        <f>(1+O$57)^F$53</f>
        <v>1.05</v>
      </c>
    </row>
    <row r="68" spans="4:15" ht="12.75">
      <c r="D68" t="s">
        <v>10</v>
      </c>
      <c r="I68" s="21"/>
      <c r="O68" s="21">
        <f>(1+O$57)^E$53</f>
        <v>1</v>
      </c>
    </row>
    <row r="70" spans="1:15" ht="12.75">
      <c r="A70" t="s">
        <v>63</v>
      </c>
      <c r="D70" t="s">
        <v>0</v>
      </c>
      <c r="E70" s="16">
        <f>E$56/E58</f>
        <v>0</v>
      </c>
      <c r="F70" s="16">
        <f aca="true" t="shared" si="29" ref="F70:O77">F$56/F58</f>
        <v>74498.58571428567</v>
      </c>
      <c r="G70" s="16">
        <f t="shared" si="29"/>
        <v>171985.72781990698</v>
      </c>
      <c r="H70" s="16">
        <f t="shared" si="29"/>
        <v>175986.4153542913</v>
      </c>
      <c r="I70" s="16">
        <f t="shared" si="29"/>
        <v>180036.7754739691</v>
      </c>
      <c r="J70" s="16">
        <f t="shared" si="29"/>
        <v>184129.4310675733</v>
      </c>
      <c r="K70" s="16">
        <f t="shared" si="29"/>
        <v>186690.433902655</v>
      </c>
      <c r="L70" s="16">
        <f t="shared" si="29"/>
        <v>190922.06822687158</v>
      </c>
      <c r="M70" s="16">
        <f t="shared" si="29"/>
        <v>195173.09295434994</v>
      </c>
      <c r="N70" s="16">
        <f t="shared" si="29"/>
        <v>199438.06725017552</v>
      </c>
      <c r="O70" s="16">
        <f t="shared" si="29"/>
        <v>203711.9229205739</v>
      </c>
    </row>
    <row r="71" spans="4:15" ht="12.75">
      <c r="D71" t="s">
        <v>1</v>
      </c>
      <c r="F71" s="16">
        <f t="shared" si="29"/>
        <v>78223.51499999996</v>
      </c>
      <c r="G71" s="16">
        <f t="shared" si="29"/>
        <v>180585.01421090233</v>
      </c>
      <c r="H71" s="16">
        <f t="shared" si="29"/>
        <v>184785.73612200588</v>
      </c>
      <c r="I71" s="16">
        <f t="shared" si="29"/>
        <v>189038.61424766752</v>
      </c>
      <c r="J71" s="16">
        <f t="shared" si="29"/>
        <v>193335.902620952</v>
      </c>
      <c r="K71" s="16">
        <f t="shared" si="29"/>
        <v>196024.95559778772</v>
      </c>
      <c r="L71" s="16">
        <f t="shared" si="29"/>
        <v>200468.1716382152</v>
      </c>
      <c r="M71" s="16">
        <f t="shared" si="29"/>
        <v>204931.74760206742</v>
      </c>
      <c r="N71" s="16">
        <f t="shared" si="29"/>
        <v>209409.9706126843</v>
      </c>
      <c r="O71" s="16">
        <f t="shared" si="29"/>
        <v>213897.51906660263</v>
      </c>
    </row>
    <row r="72" spans="4:15" ht="12.75">
      <c r="D72" t="s">
        <v>2</v>
      </c>
      <c r="G72" s="16">
        <f t="shared" si="29"/>
        <v>189614.26492144747</v>
      </c>
      <c r="H72" s="16">
        <f t="shared" si="29"/>
        <v>194025.02292810616</v>
      </c>
      <c r="I72" s="16">
        <f t="shared" si="29"/>
        <v>198490.5449600509</v>
      </c>
      <c r="J72" s="16">
        <f t="shared" si="29"/>
        <v>203002.69775199957</v>
      </c>
      <c r="K72" s="16">
        <f t="shared" si="29"/>
        <v>205826.20337767713</v>
      </c>
      <c r="L72" s="16">
        <f t="shared" si="29"/>
        <v>210491.58022012594</v>
      </c>
      <c r="M72" s="16">
        <f t="shared" si="29"/>
        <v>215178.3349821708</v>
      </c>
      <c r="N72" s="16">
        <f t="shared" si="29"/>
        <v>219880.46914331848</v>
      </c>
      <c r="O72" s="16">
        <f t="shared" si="29"/>
        <v>224592.39501993277</v>
      </c>
    </row>
    <row r="73" spans="4:15" ht="12.75">
      <c r="D73" t="s">
        <v>3</v>
      </c>
      <c r="H73" s="16">
        <f t="shared" si="29"/>
        <v>203726.2740745115</v>
      </c>
      <c r="I73" s="16">
        <f t="shared" si="29"/>
        <v>208415.07220805343</v>
      </c>
      <c r="J73" s="16">
        <f t="shared" si="29"/>
        <v>213152.83263959957</v>
      </c>
      <c r="K73" s="16">
        <f t="shared" si="29"/>
        <v>216117.51354656095</v>
      </c>
      <c r="L73" s="16">
        <f t="shared" si="29"/>
        <v>221016.15923113225</v>
      </c>
      <c r="M73" s="16">
        <f t="shared" si="29"/>
        <v>225937.25173127934</v>
      </c>
      <c r="N73" s="16">
        <f t="shared" si="29"/>
        <v>230874.49260048446</v>
      </c>
      <c r="O73" s="16">
        <f t="shared" si="29"/>
        <v>235822.01477092938</v>
      </c>
    </row>
    <row r="74" spans="4:15" ht="12.75">
      <c r="D74" t="s">
        <v>4</v>
      </c>
      <c r="I74" s="16">
        <f t="shared" si="29"/>
        <v>218835.82581845613</v>
      </c>
      <c r="J74" s="16">
        <f t="shared" si="29"/>
        <v>223810.47427157953</v>
      </c>
      <c r="K74" s="16">
        <f t="shared" si="29"/>
        <v>226923.389223889</v>
      </c>
      <c r="L74" s="16">
        <f t="shared" si="29"/>
        <v>232066.96719268884</v>
      </c>
      <c r="M74" s="16">
        <f t="shared" si="29"/>
        <v>237234.1143178433</v>
      </c>
      <c r="N74" s="16">
        <f t="shared" si="29"/>
        <v>242418.21723050866</v>
      </c>
      <c r="O74" s="16">
        <f t="shared" si="29"/>
        <v>247613.1155094759</v>
      </c>
    </row>
    <row r="75" spans="4:15" ht="12.75">
      <c r="D75" t="s">
        <v>5</v>
      </c>
      <c r="J75" s="16">
        <f t="shared" si="29"/>
        <v>235000.99798515852</v>
      </c>
      <c r="K75" s="16">
        <f t="shared" si="29"/>
        <v>238269.55868508347</v>
      </c>
      <c r="L75" s="16">
        <f t="shared" si="29"/>
        <v>243670.3155523233</v>
      </c>
      <c r="M75" s="16">
        <f t="shared" si="29"/>
        <v>249095.82003373545</v>
      </c>
      <c r="N75" s="16">
        <f t="shared" si="29"/>
        <v>254539.1280920341</v>
      </c>
      <c r="O75" s="16">
        <f t="shared" si="29"/>
        <v>259993.77128494965</v>
      </c>
    </row>
    <row r="76" spans="4:15" ht="12.75">
      <c r="D76" t="s">
        <v>6</v>
      </c>
      <c r="K76" s="16">
        <f t="shared" si="29"/>
        <v>250183.03661933765</v>
      </c>
      <c r="L76" s="16">
        <f t="shared" si="29"/>
        <v>255853.83132993948</v>
      </c>
      <c r="M76" s="16">
        <f t="shared" si="29"/>
        <v>261550.61103542225</v>
      </c>
      <c r="N76" s="16">
        <f t="shared" si="29"/>
        <v>267266.08449663577</v>
      </c>
      <c r="O76" s="16">
        <f t="shared" si="29"/>
        <v>272993.4598491972</v>
      </c>
    </row>
    <row r="77" spans="4:15" ht="12.75">
      <c r="D77" t="s">
        <v>7</v>
      </c>
      <c r="L77" s="16">
        <f t="shared" si="29"/>
        <v>268646.52289643645</v>
      </c>
      <c r="M77" s="16">
        <f t="shared" si="29"/>
        <v>274628.14158719336</v>
      </c>
      <c r="N77" s="16">
        <f t="shared" si="29"/>
        <v>280629.3887214676</v>
      </c>
      <c r="O77" s="16">
        <f t="shared" si="29"/>
        <v>286643.132841657</v>
      </c>
    </row>
    <row r="78" spans="4:15" ht="12.75">
      <c r="D78" t="s">
        <v>8</v>
      </c>
      <c r="M78" s="16">
        <f aca="true" t="shared" si="30" ref="M78:O80">M$56/M66</f>
        <v>288359.54866655305</v>
      </c>
      <c r="N78" s="16">
        <f t="shared" si="30"/>
        <v>294660.85815754096</v>
      </c>
      <c r="O78" s="16">
        <f t="shared" si="30"/>
        <v>300975.2894837399</v>
      </c>
    </row>
    <row r="79" spans="4:15" ht="12.75">
      <c r="D79" t="s">
        <v>9</v>
      </c>
      <c r="M79" s="16"/>
      <c r="N79" s="16">
        <f t="shared" si="30"/>
        <v>309393.90106541803</v>
      </c>
      <c r="O79" s="16">
        <f t="shared" si="30"/>
        <v>316024.05395792687</v>
      </c>
    </row>
    <row r="80" spans="4:15" ht="12.75">
      <c r="D80" t="s">
        <v>10</v>
      </c>
      <c r="O80" s="16">
        <f t="shared" si="30"/>
        <v>331825.2566558232</v>
      </c>
    </row>
    <row r="81" ht="12.75">
      <c r="O81" s="16"/>
    </row>
    <row r="82" spans="1:15" ht="12.75">
      <c r="A82" s="58"/>
      <c r="B82" s="58"/>
      <c r="C82" s="58"/>
      <c r="D82" s="58"/>
      <c r="E82" s="62" t="s">
        <v>0</v>
      </c>
      <c r="F82" s="62" t="s">
        <v>1</v>
      </c>
      <c r="G82" s="62" t="s">
        <v>2</v>
      </c>
      <c r="H82" s="62" t="s">
        <v>3</v>
      </c>
      <c r="I82" s="62" t="s">
        <v>4</v>
      </c>
      <c r="J82" s="62" t="s">
        <v>5</v>
      </c>
      <c r="K82" s="62" t="s">
        <v>6</v>
      </c>
      <c r="L82" s="62" t="s">
        <v>7</v>
      </c>
      <c r="M82" s="62" t="s">
        <v>8</v>
      </c>
      <c r="N82" s="62" t="s">
        <v>9</v>
      </c>
      <c r="O82" s="62" t="s">
        <v>10</v>
      </c>
    </row>
    <row r="83" spans="1:15" ht="12.75">
      <c r="A83" t="s">
        <v>64</v>
      </c>
      <c r="E83" s="16">
        <f>SUM(F70:O70)</f>
        <v>1762572.5206846525</v>
      </c>
      <c r="F83" s="16">
        <f>SUM(G71:O71)</f>
        <v>1772477.631718885</v>
      </c>
      <c r="G83" s="16">
        <f>SUM(H72:O72)</f>
        <v>1671487.2483833819</v>
      </c>
      <c r="H83" s="16">
        <f>SUM(I73:O73)</f>
        <v>1551335.3367280397</v>
      </c>
      <c r="I83" s="16">
        <f>SUM(J74:O74)</f>
        <v>1410066.2777459852</v>
      </c>
      <c r="J83" s="16">
        <f>SUM(K75:O75)</f>
        <v>1245568.593648126</v>
      </c>
      <c r="K83" s="16">
        <f>SUM(L76:O76)</f>
        <v>1057663.9867111947</v>
      </c>
      <c r="L83" s="16">
        <f>SUM(M77:O77)</f>
        <v>841900.663150318</v>
      </c>
      <c r="M83" s="16">
        <f>SUM(N78:O78)</f>
        <v>595636.1476412809</v>
      </c>
      <c r="N83" s="16">
        <f>O79</f>
        <v>316024.05395792687</v>
      </c>
      <c r="O83" s="16">
        <v>0</v>
      </c>
    </row>
    <row r="84" ht="12.75">
      <c r="G84" s="16"/>
    </row>
    <row r="85" spans="1:15" ht="12.75">
      <c r="A85" t="s">
        <v>65</v>
      </c>
      <c r="E85" s="16">
        <f>Deuda!E16</f>
        <v>504000</v>
      </c>
      <c r="F85" s="16">
        <f>Deuda!F16</f>
        <v>453600</v>
      </c>
      <c r="G85" s="16">
        <f>Deuda!G16</f>
        <v>403200</v>
      </c>
      <c r="H85" s="16">
        <f>Deuda!H16</f>
        <v>352800</v>
      </c>
      <c r="I85" s="16">
        <f>Deuda!I16</f>
        <v>302400</v>
      </c>
      <c r="J85" s="16">
        <f>Deuda!J16</f>
        <v>252000</v>
      </c>
      <c r="K85" s="16">
        <f>Deuda!K16</f>
        <v>201600</v>
      </c>
      <c r="L85" s="16">
        <f>Deuda!L16</f>
        <v>151200</v>
      </c>
      <c r="M85" s="16">
        <f>Deuda!M16</f>
        <v>100800</v>
      </c>
      <c r="N85" s="16">
        <f>Deuda!N16</f>
        <v>50400</v>
      </c>
      <c r="O85" s="16">
        <f>Deuda!O16</f>
        <v>0</v>
      </c>
    </row>
    <row r="87" spans="1:15" ht="12.75">
      <c r="A87" s="61" t="s">
        <v>66</v>
      </c>
      <c r="B87" s="58"/>
      <c r="C87" s="58"/>
      <c r="D87" s="58"/>
      <c r="E87" s="67">
        <f>E83/E85</f>
        <v>3.497167699771136</v>
      </c>
      <c r="F87" s="67">
        <f aca="true" t="shared" si="31" ref="F87:N87">F83/F85</f>
        <v>3.907578553172145</v>
      </c>
      <c r="G87" s="67">
        <f t="shared" si="31"/>
        <v>4.145553691427039</v>
      </c>
      <c r="H87" s="67">
        <f t="shared" si="31"/>
        <v>4.397209004331178</v>
      </c>
      <c r="I87" s="67">
        <f t="shared" si="31"/>
        <v>4.66291758513884</v>
      </c>
      <c r="J87" s="67">
        <f t="shared" si="31"/>
        <v>4.942732514476691</v>
      </c>
      <c r="K87" s="67">
        <f t="shared" si="31"/>
        <v>5.246349140432514</v>
      </c>
      <c r="L87" s="67">
        <f t="shared" si="31"/>
        <v>5.568126079036494</v>
      </c>
      <c r="M87" s="67">
        <f t="shared" si="31"/>
        <v>5.909088766282548</v>
      </c>
      <c r="N87" s="67">
        <f t="shared" si="31"/>
        <v>6.270318530911247</v>
      </c>
      <c r="O87" s="67"/>
    </row>
  </sheetData>
  <printOptions/>
  <pageMargins left="0.75" right="0.75" top="1" bottom="1" header="0" footer="0"/>
  <pageSetup fitToHeight="2" horizontalDpi="300" verticalDpi="300" orientation="landscape" paperSize="9" scale="68" r:id="rId2"/>
  <rowBreaks count="1" manualBreakCount="1">
    <brk id="42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O83"/>
  <sheetViews>
    <sheetView showGridLines="0" zoomScale="75" zoomScaleNormal="75" workbookViewId="0" topLeftCell="A1">
      <selection activeCell="G51" sqref="G51"/>
    </sheetView>
  </sheetViews>
  <sheetFormatPr defaultColWidth="11.421875" defaultRowHeight="12.75"/>
  <cols>
    <col min="1" max="1" width="20.00390625" style="0" customWidth="1"/>
    <col min="5" max="15" width="15.7109375" style="0" customWidth="1"/>
  </cols>
  <sheetData>
    <row r="6" spans="1:15" ht="12.75">
      <c r="A6" s="60" t="s">
        <v>67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</row>
    <row r="9" spans="1:15" ht="12.75">
      <c r="A9" s="60" t="s">
        <v>116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</row>
    <row r="11" spans="1:15" ht="12.75">
      <c r="A11" s="58"/>
      <c r="B11" s="58"/>
      <c r="C11" s="58"/>
      <c r="D11" s="58"/>
      <c r="E11" s="62" t="s">
        <v>0</v>
      </c>
      <c r="F11" s="62" t="s">
        <v>1</v>
      </c>
      <c r="G11" s="62" t="s">
        <v>2</v>
      </c>
      <c r="H11" s="62" t="s">
        <v>3</v>
      </c>
      <c r="I11" s="62" t="s">
        <v>4</v>
      </c>
      <c r="J11" s="62" t="s">
        <v>5</v>
      </c>
      <c r="K11" s="62" t="s">
        <v>6</v>
      </c>
      <c r="L11" s="62" t="s">
        <v>7</v>
      </c>
      <c r="M11" s="62" t="s">
        <v>8</v>
      </c>
      <c r="N11" s="62" t="s">
        <v>9</v>
      </c>
      <c r="O11" s="62" t="s">
        <v>10</v>
      </c>
    </row>
    <row r="12" spans="1:15" ht="12.75">
      <c r="A12" t="s">
        <v>70</v>
      </c>
      <c r="E12" s="22">
        <f>'P&amp;L, Cash Flow y ratios'!E33</f>
        <v>0</v>
      </c>
      <c r="F12" s="22">
        <f>'P&amp;L, Cash Flow y ratios'!F33</f>
        <v>26506.29</v>
      </c>
      <c r="G12" s="22">
        <f>'P&amp;L, Cash Flow y ratios'!G33</f>
        <v>27557.227911</v>
      </c>
      <c r="H12" s="22">
        <f>'P&amp;L, Cash Flow y ratios'!H33</f>
        <v>28654.9242439917</v>
      </c>
      <c r="I12" s="22">
        <f>'P&amp;L, Cash Flow y ratios'!I33</f>
        <v>29801.59240113751</v>
      </c>
      <c r="J12" s="22">
        <f>'P&amp;L, Cash Flow y ratios'!J33</f>
        <v>30999.5537668922</v>
      </c>
      <c r="K12" s="22">
        <f>'P&amp;L, Cash Flow y ratios'!K33</f>
        <v>32251.24305293868</v>
      </c>
      <c r="L12" s="22">
        <f>'P&amp;L, Cash Flow y ratios'!L33</f>
        <v>33559.21390964472</v>
      </c>
      <c r="M12" s="22">
        <f>'P&amp;L, Cash Flow y ratios'!M33</f>
        <v>34926.1448173856</v>
      </c>
      <c r="N12" s="22">
        <f>'P&amp;L, Cash Flow y ratios'!N33</f>
        <v>36354.84527174716</v>
      </c>
      <c r="O12" s="22">
        <f>'P&amp;L, Cash Flow y ratios'!O33</f>
        <v>37848.26227732783</v>
      </c>
    </row>
    <row r="13" spans="1:15" ht="12.75">
      <c r="A13" t="s">
        <v>86</v>
      </c>
      <c r="E13" s="22">
        <f>E18-E17-E16-E15-E14-E12</f>
        <v>0</v>
      </c>
      <c r="F13" s="22">
        <f>F18-F17-F16-F15-F14-F12</f>
        <v>3883.514999999934</v>
      </c>
      <c r="G13" s="22">
        <f aca="true" t="shared" si="0" ref="G13:O13">G18-G17-G16-G15-G14-G12</f>
        <v>121677.77992144751</v>
      </c>
      <c r="H13" s="22">
        <f t="shared" si="0"/>
        <v>256104.05399595885</v>
      </c>
      <c r="I13" s="22">
        <f t="shared" si="0"/>
        <v>408159.87981441495</v>
      </c>
      <c r="J13" s="22">
        <f t="shared" si="0"/>
        <v>578900.8777995736</v>
      </c>
      <c r="K13" s="22">
        <f t="shared" si="0"/>
        <v>767343.9144189112</v>
      </c>
      <c r="L13" s="22">
        <f t="shared" si="0"/>
        <v>976770.4373153476</v>
      </c>
      <c r="M13" s="22">
        <f t="shared" si="0"/>
        <v>1208429.9859819007</v>
      </c>
      <c r="N13" s="22">
        <f t="shared" si="0"/>
        <v>1463643.887047319</v>
      </c>
      <c r="O13" s="22">
        <f t="shared" si="0"/>
        <v>1743809.1437031422</v>
      </c>
    </row>
    <row r="14" spans="1:15" ht="12.75">
      <c r="A14" t="s">
        <v>72</v>
      </c>
      <c r="E14" s="16">
        <f>'P&amp;L, Cash Flow y ratios'!E35</f>
        <v>0</v>
      </c>
      <c r="F14" s="16">
        <f>'P&amp;L, Cash Flow y ratios'!F35</f>
        <v>106025.16</v>
      </c>
      <c r="G14" s="16">
        <f>'P&amp;L, Cash Flow y ratios'!G35</f>
        <v>110228.911644</v>
      </c>
      <c r="H14" s="16">
        <f>'P&amp;L, Cash Flow y ratios'!H35</f>
        <v>114619.6969759668</v>
      </c>
      <c r="I14" s="16">
        <f>'P&amp;L, Cash Flow y ratios'!I35</f>
        <v>119206.36960455004</v>
      </c>
      <c r="J14" s="16">
        <f>'P&amp;L, Cash Flow y ratios'!J35</f>
        <v>123998.2150675688</v>
      </c>
      <c r="K14" s="16">
        <f>'P&amp;L, Cash Flow y ratios'!K35</f>
        <v>129004.97221175472</v>
      </c>
      <c r="L14" s="16">
        <f>'P&amp;L, Cash Flow y ratios'!L35</f>
        <v>134236.85563857888</v>
      </c>
      <c r="M14" s="16">
        <f>'P&amp;L, Cash Flow y ratios'!M35</f>
        <v>139704.5792695424</v>
      </c>
      <c r="N14" s="16">
        <f>'P&amp;L, Cash Flow y ratios'!N35</f>
        <v>145419.38108698864</v>
      </c>
      <c r="O14" s="16">
        <f>'P&amp;L, Cash Flow y ratios'!O35</f>
        <v>151393.0491093113</v>
      </c>
    </row>
    <row r="15" spans="1:15" ht="12.75">
      <c r="A15" t="s">
        <v>170</v>
      </c>
      <c r="E15" s="16">
        <f>'P&amp;L, Cash Flow y ratios'!E37</f>
        <v>0</v>
      </c>
      <c r="F15" s="16">
        <f>'P&amp;L, Cash Flow y ratios'!F37</f>
        <v>66265.725</v>
      </c>
      <c r="G15" s="16">
        <f>'P&amp;L, Cash Flow y ratios'!G37</f>
        <v>68893.0697775</v>
      </c>
      <c r="H15" s="16">
        <f>'P&amp;L, Cash Flow y ratios'!H37</f>
        <v>71637.31060997925</v>
      </c>
      <c r="I15" s="16">
        <f>'P&amp;L, Cash Flow y ratios'!I37</f>
        <v>74503.98100284378</v>
      </c>
      <c r="J15" s="16">
        <f>'P&amp;L, Cash Flow y ratios'!J37</f>
        <v>77498.8844172305</v>
      </c>
      <c r="K15" s="16">
        <f>'P&amp;L, Cash Flow y ratios'!K37</f>
        <v>80628.1076323467</v>
      </c>
      <c r="L15" s="16">
        <f>'P&amp;L, Cash Flow y ratios'!L37</f>
        <v>83898.03477411182</v>
      </c>
      <c r="M15" s="16">
        <f>'P&amp;L, Cash Flow y ratios'!M37</f>
        <v>87315.36204346399</v>
      </c>
      <c r="N15" s="16">
        <f>'P&amp;L, Cash Flow y ratios'!N37</f>
        <v>90887.11317936791</v>
      </c>
      <c r="O15" s="16">
        <f>'P&amp;L, Cash Flow y ratios'!O37</f>
        <v>94620.65569331957</v>
      </c>
    </row>
    <row r="16" spans="1:15" ht="12.75">
      <c r="A16" t="s">
        <v>77</v>
      </c>
      <c r="E16" s="16">
        <f>Amortización!E23</f>
        <v>600000</v>
      </c>
      <c r="F16" s="16">
        <f>Amortización!F23</f>
        <v>540000</v>
      </c>
      <c r="G16" s="16">
        <f>Amortización!G23</f>
        <v>480000</v>
      </c>
      <c r="H16" s="16">
        <f>Amortización!H23</f>
        <v>420000</v>
      </c>
      <c r="I16" s="16">
        <f>Amortización!I23</f>
        <v>360000</v>
      </c>
      <c r="J16" s="16">
        <f>Amortización!J23</f>
        <v>300000</v>
      </c>
      <c r="K16" s="16">
        <f>Amortización!K23</f>
        <v>240000</v>
      </c>
      <c r="L16" s="16">
        <f>Amortización!L23</f>
        <v>180000</v>
      </c>
      <c r="M16" s="16">
        <f>Amortización!M23</f>
        <v>120000</v>
      </c>
      <c r="N16" s="16">
        <f>Amortización!N23</f>
        <v>60000</v>
      </c>
      <c r="O16" s="16">
        <f>Amortización!O23</f>
        <v>0</v>
      </c>
    </row>
    <row r="17" spans="1:15" ht="12.75">
      <c r="A17" t="s">
        <v>79</v>
      </c>
      <c r="E17" s="16">
        <f>Amortización!E27</f>
        <v>30000</v>
      </c>
      <c r="F17" s="16">
        <f>Amortización!F27</f>
        <v>24000</v>
      </c>
      <c r="G17" s="16">
        <f>Amortización!G27</f>
        <v>18000</v>
      </c>
      <c r="H17" s="16">
        <f>Amortización!H27</f>
        <v>12000</v>
      </c>
      <c r="I17" s="16">
        <f>Amortización!I27</f>
        <v>6000</v>
      </c>
      <c r="J17" s="16">
        <f>Amortización!J27</f>
        <v>0</v>
      </c>
      <c r="K17" s="16">
        <f>Amortización!K27</f>
        <v>0</v>
      </c>
      <c r="L17" s="16">
        <f>Amortización!L27</f>
        <v>0</v>
      </c>
      <c r="M17" s="16">
        <f>Amortización!M27</f>
        <v>0</v>
      </c>
      <c r="N17" s="16">
        <f>Amortización!N27</f>
        <v>0</v>
      </c>
      <c r="O17" s="16">
        <f>Amortización!O27</f>
        <v>0</v>
      </c>
    </row>
    <row r="18" spans="1:15" s="48" customFormat="1" ht="12.75">
      <c r="A18" s="9" t="s">
        <v>80</v>
      </c>
      <c r="E18" s="14">
        <f>E25</f>
        <v>630000</v>
      </c>
      <c r="F18" s="14">
        <f aca="true" t="shared" si="1" ref="F18:O18">F25</f>
        <v>766680.69</v>
      </c>
      <c r="G18" s="14">
        <f t="shared" si="1"/>
        <v>826356.9892539475</v>
      </c>
      <c r="H18" s="14">
        <f t="shared" si="1"/>
        <v>903015.9858258966</v>
      </c>
      <c r="I18" s="14">
        <f t="shared" si="1"/>
        <v>997671.8228229464</v>
      </c>
      <c r="J18" s="14">
        <f t="shared" si="1"/>
        <v>1111397.531051265</v>
      </c>
      <c r="K18" s="14">
        <f t="shared" si="1"/>
        <v>1249228.2373159514</v>
      </c>
      <c r="L18" s="14">
        <f t="shared" si="1"/>
        <v>1408464.541637683</v>
      </c>
      <c r="M18" s="14">
        <f t="shared" si="1"/>
        <v>1590376.0721122927</v>
      </c>
      <c r="N18" s="14">
        <f t="shared" si="1"/>
        <v>1796305.2265854226</v>
      </c>
      <c r="O18" s="14">
        <f t="shared" si="1"/>
        <v>2027671.1107831008</v>
      </c>
    </row>
    <row r="19" spans="5:15" ht="12.75"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ht="12.75">
      <c r="A20" t="s">
        <v>74</v>
      </c>
      <c r="E20" s="16">
        <f>'P&amp;L, Cash Flow y ratios'!E39</f>
        <v>0</v>
      </c>
      <c r="F20" s="16">
        <f>'P&amp;L, Cash Flow y ratios'!F39</f>
        <v>159037.74</v>
      </c>
      <c r="G20" s="16">
        <f>'P&amp;L, Cash Flow y ratios'!G39</f>
        <v>165343.367466</v>
      </c>
      <c r="H20" s="16">
        <f>'P&amp;L, Cash Flow y ratios'!H39</f>
        <v>171929.5454639502</v>
      </c>
      <c r="I20" s="16">
        <f>'P&amp;L, Cash Flow y ratios'!I39</f>
        <v>178809.55440682505</v>
      </c>
      <c r="J20" s="16">
        <f>'P&amp;L, Cash Flow y ratios'!J39</f>
        <v>185997.3226013532</v>
      </c>
      <c r="K20" s="16">
        <f>'P&amp;L, Cash Flow y ratios'!K39</f>
        <v>193507.45831763206</v>
      </c>
      <c r="L20" s="16">
        <f>'P&amp;L, Cash Flow y ratios'!L39</f>
        <v>201355.28345786833</v>
      </c>
      <c r="M20" s="16">
        <f>'P&amp;L, Cash Flow y ratios'!M39</f>
        <v>209556.86890431357</v>
      </c>
      <c r="N20" s="16">
        <f>'P&amp;L, Cash Flow y ratios'!N39</f>
        <v>218129.07163048294</v>
      </c>
      <c r="O20" s="16">
        <f>'P&amp;L, Cash Flow y ratios'!O39</f>
        <v>227089.57366396696</v>
      </c>
    </row>
    <row r="21" spans="1:15" ht="12.75">
      <c r="A21" t="s">
        <v>81</v>
      </c>
      <c r="E21" s="16">
        <f>Deuda!E16</f>
        <v>504000</v>
      </c>
      <c r="F21" s="16">
        <f>Deuda!F16</f>
        <v>453600</v>
      </c>
      <c r="G21" s="16">
        <f>Deuda!G16</f>
        <v>403200</v>
      </c>
      <c r="H21" s="16">
        <f>Deuda!H16</f>
        <v>352800</v>
      </c>
      <c r="I21" s="16">
        <f>Deuda!I16</f>
        <v>302400</v>
      </c>
      <c r="J21" s="16">
        <f>Deuda!J16</f>
        <v>252000</v>
      </c>
      <c r="K21" s="16">
        <f>Deuda!K16</f>
        <v>201600</v>
      </c>
      <c r="L21" s="16">
        <f>Deuda!L16</f>
        <v>151200</v>
      </c>
      <c r="M21" s="16">
        <f>Deuda!M16</f>
        <v>100800</v>
      </c>
      <c r="N21" s="16">
        <f>Deuda!N16</f>
        <v>50400</v>
      </c>
      <c r="O21" s="16">
        <f>Deuda!O16</f>
        <v>0</v>
      </c>
    </row>
    <row r="22" spans="1:15" ht="12.75">
      <c r="A22" t="s">
        <v>82</v>
      </c>
      <c r="E22" s="16">
        <f>'P&amp;L, Cash Flow y ratios'!E19</f>
        <v>0</v>
      </c>
      <c r="F22" s="16">
        <f>'P&amp;L, Cash Flow y ratios'!F19</f>
        <v>28042.95</v>
      </c>
      <c r="G22" s="16">
        <f>'P&amp;L, Cash Flow y ratios'!G19</f>
        <v>103770.67178794747</v>
      </c>
      <c r="H22" s="16">
        <f>'P&amp;L, Cash Flow y ratios'!H19</f>
        <v>120472.81857399904</v>
      </c>
      <c r="I22" s="16">
        <f>'P&amp;L, Cash Flow y ratios'!I19</f>
        <v>138175.82805417484</v>
      </c>
      <c r="J22" s="16">
        <f>'P&amp;L, Cash Flow y ratios'!J19</f>
        <v>156937.94003379057</v>
      </c>
      <c r="K22" s="16">
        <f>'P&amp;L, Cash Flow y ratios'!K19</f>
        <v>180720.57054840738</v>
      </c>
      <c r="L22" s="16">
        <f>'P&amp;L, Cash Flow y ratios'!L19</f>
        <v>201788.4791814955</v>
      </c>
      <c r="M22" s="16">
        <f>'P&amp;L, Cash Flow y ratios'!M19</f>
        <v>224109.94502816437</v>
      </c>
      <c r="N22" s="16">
        <f>'P&amp;L, Cash Flow y ratios'!N19</f>
        <v>247756.95174696043</v>
      </c>
      <c r="O22" s="16">
        <f>'P&amp;L, Cash Flow y ratios'!O19</f>
        <v>272805.3821641942</v>
      </c>
    </row>
    <row r="23" spans="1:15" ht="12.75">
      <c r="A23" t="s">
        <v>83</v>
      </c>
      <c r="E23" s="16">
        <f>D23+D22</f>
        <v>0</v>
      </c>
      <c r="F23" s="16">
        <f>E23+E22</f>
        <v>0</v>
      </c>
      <c r="G23" s="16">
        <f>F23+F22</f>
        <v>28042.95</v>
      </c>
      <c r="H23" s="16">
        <f aca="true" t="shared" si="2" ref="H23:O23">G23+G22</f>
        <v>131813.6217879475</v>
      </c>
      <c r="I23" s="16">
        <f t="shared" si="2"/>
        <v>252286.44036194653</v>
      </c>
      <c r="J23" s="16">
        <f t="shared" si="2"/>
        <v>390462.26841612137</v>
      </c>
      <c r="K23" s="16">
        <f t="shared" si="2"/>
        <v>547400.2084499119</v>
      </c>
      <c r="L23" s="16">
        <f t="shared" si="2"/>
        <v>728120.7789983193</v>
      </c>
      <c r="M23" s="16">
        <f t="shared" si="2"/>
        <v>929909.2581798148</v>
      </c>
      <c r="N23" s="16">
        <f t="shared" si="2"/>
        <v>1154019.2032079792</v>
      </c>
      <c r="O23" s="16">
        <f t="shared" si="2"/>
        <v>1401776.1549549396</v>
      </c>
    </row>
    <row r="24" spans="1:15" ht="12.75">
      <c r="A24" t="s">
        <v>84</v>
      </c>
      <c r="E24" s="16">
        <f>Deuda!E10*Deuda!E11</f>
        <v>126000</v>
      </c>
      <c r="F24" s="16">
        <f>E24</f>
        <v>126000</v>
      </c>
      <c r="G24" s="16">
        <f aca="true" t="shared" si="3" ref="G24:O24">F24</f>
        <v>126000</v>
      </c>
      <c r="H24" s="16">
        <f t="shared" si="3"/>
        <v>126000</v>
      </c>
      <c r="I24" s="16">
        <f t="shared" si="3"/>
        <v>126000</v>
      </c>
      <c r="J24" s="16">
        <f t="shared" si="3"/>
        <v>126000</v>
      </c>
      <c r="K24" s="16">
        <f t="shared" si="3"/>
        <v>126000</v>
      </c>
      <c r="L24" s="16">
        <f t="shared" si="3"/>
        <v>126000</v>
      </c>
      <c r="M24" s="16">
        <f t="shared" si="3"/>
        <v>126000</v>
      </c>
      <c r="N24" s="16">
        <f t="shared" si="3"/>
        <v>126000</v>
      </c>
      <c r="O24" s="16">
        <f t="shared" si="3"/>
        <v>126000</v>
      </c>
    </row>
    <row r="25" spans="1:15" s="48" customFormat="1" ht="12.75">
      <c r="A25" s="9" t="s">
        <v>85</v>
      </c>
      <c r="E25" s="14">
        <f>SUM(E20:E24)</f>
        <v>630000</v>
      </c>
      <c r="F25" s="14">
        <f aca="true" t="shared" si="4" ref="F25:O25">SUM(F20:F24)</f>
        <v>766680.69</v>
      </c>
      <c r="G25" s="14">
        <f t="shared" si="4"/>
        <v>826356.9892539475</v>
      </c>
      <c r="H25" s="14">
        <f t="shared" si="4"/>
        <v>903015.9858258966</v>
      </c>
      <c r="I25" s="14">
        <f t="shared" si="4"/>
        <v>997671.8228229464</v>
      </c>
      <c r="J25" s="14">
        <f t="shared" si="4"/>
        <v>1111397.531051265</v>
      </c>
      <c r="K25" s="14">
        <f t="shared" si="4"/>
        <v>1249228.2373159514</v>
      </c>
      <c r="L25" s="14">
        <f t="shared" si="4"/>
        <v>1408464.541637683</v>
      </c>
      <c r="M25" s="14">
        <f t="shared" si="4"/>
        <v>1590376.0721122927</v>
      </c>
      <c r="N25" s="14">
        <f t="shared" si="4"/>
        <v>1796305.2265854226</v>
      </c>
      <c r="O25" s="14">
        <f t="shared" si="4"/>
        <v>2027671.1107831008</v>
      </c>
    </row>
    <row r="27" spans="1:15" ht="12.75">
      <c r="A27" s="60" t="s">
        <v>87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</row>
    <row r="28" ht="12.75">
      <c r="A28" s="37"/>
    </row>
    <row r="29" spans="1:15" ht="12.75">
      <c r="A29" s="58"/>
      <c r="B29" s="58"/>
      <c r="C29" s="58"/>
      <c r="D29" s="58"/>
      <c r="E29" s="62" t="s">
        <v>0</v>
      </c>
      <c r="F29" s="62" t="s">
        <v>1</v>
      </c>
      <c r="G29" s="62" t="s">
        <v>2</v>
      </c>
      <c r="H29" s="62" t="s">
        <v>3</v>
      </c>
      <c r="I29" s="62" t="s">
        <v>4</v>
      </c>
      <c r="J29" s="62" t="s">
        <v>5</v>
      </c>
      <c r="K29" s="62" t="s">
        <v>6</v>
      </c>
      <c r="L29" s="62" t="s">
        <v>7</v>
      </c>
      <c r="M29" s="62" t="s">
        <v>8</v>
      </c>
      <c r="N29" s="62" t="s">
        <v>9</v>
      </c>
      <c r="O29" s="62" t="s">
        <v>10</v>
      </c>
    </row>
    <row r="30" spans="1:15" ht="12.75">
      <c r="A30" t="s">
        <v>88</v>
      </c>
      <c r="E30" s="16">
        <f>'P&amp;L, Cash Flow y ratios'!E41</f>
        <v>0</v>
      </c>
      <c r="F30" s="16">
        <f>'P&amp;L, Cash Flow y ratios'!F41</f>
        <v>78223.51499999996</v>
      </c>
      <c r="G30" s="16">
        <f>'P&amp;L, Cash Flow y ratios'!G41</f>
        <v>189614.26492144747</v>
      </c>
      <c r="H30" s="16">
        <f>'P&amp;L, Cash Flow y ratios'!H41</f>
        <v>203726.2740745115</v>
      </c>
      <c r="I30" s="16">
        <f>'P&amp;L, Cash Flow y ratios'!I41</f>
        <v>218835.82581845613</v>
      </c>
      <c r="J30" s="16">
        <f>'P&amp;L, Cash Flow y ratios'!J41</f>
        <v>235000.99798515852</v>
      </c>
      <c r="K30" s="16">
        <f>'P&amp;L, Cash Flow y ratios'!K41</f>
        <v>250183.03661933765</v>
      </c>
      <c r="L30" s="16">
        <f>'P&amp;L, Cash Flow y ratios'!L41</f>
        <v>268646.52289643645</v>
      </c>
      <c r="M30" s="16">
        <f>'P&amp;L, Cash Flow y ratios'!M41</f>
        <v>288359.54866655305</v>
      </c>
      <c r="N30" s="16">
        <f>'P&amp;L, Cash Flow y ratios'!N41</f>
        <v>309393.90106541803</v>
      </c>
      <c r="O30" s="16">
        <f>'P&amp;L, Cash Flow y ratios'!O41</f>
        <v>331825.2566558232</v>
      </c>
    </row>
    <row r="31" spans="1:15" ht="12.75">
      <c r="A31" t="s">
        <v>89</v>
      </c>
      <c r="E31" s="16">
        <f>'P&amp;L, Cash Flow y ratios'!E48</f>
        <v>0</v>
      </c>
      <c r="F31" s="16">
        <f>'P&amp;L, Cash Flow y ratios'!F48</f>
        <v>74340</v>
      </c>
      <c r="G31" s="16">
        <f>'P&amp;L, Cash Flow y ratios'!G48</f>
        <v>71820</v>
      </c>
      <c r="H31" s="16">
        <f>'P&amp;L, Cash Flow y ratios'!H48</f>
        <v>69300</v>
      </c>
      <c r="I31" s="16">
        <f>'P&amp;L, Cash Flow y ratios'!I48</f>
        <v>66780</v>
      </c>
      <c r="J31" s="16">
        <f>'P&amp;L, Cash Flow y ratios'!J48</f>
        <v>64260</v>
      </c>
      <c r="K31" s="16">
        <f>'P&amp;L, Cash Flow y ratios'!K48</f>
        <v>61740</v>
      </c>
      <c r="L31" s="16">
        <f>'P&amp;L, Cash Flow y ratios'!L48</f>
        <v>59220</v>
      </c>
      <c r="M31" s="16">
        <f>'P&amp;L, Cash Flow y ratios'!M48</f>
        <v>56700</v>
      </c>
      <c r="N31" s="16">
        <f>'P&amp;L, Cash Flow y ratios'!N48</f>
        <v>54180</v>
      </c>
      <c r="O31" s="16">
        <f>'P&amp;L, Cash Flow y ratios'!O48</f>
        <v>51660</v>
      </c>
    </row>
    <row r="32" spans="1:15" ht="12.75">
      <c r="A32" t="s">
        <v>90</v>
      </c>
      <c r="E32" s="16">
        <f>IF((E30-E31)&gt;0,E30-E31,0)</f>
        <v>0</v>
      </c>
      <c r="F32" s="16">
        <f aca="true" t="shared" si="5" ref="F32:O32">IF((F30-F31)&gt;0,F30-F31,0)</f>
        <v>3883.5149999999558</v>
      </c>
      <c r="G32" s="16">
        <f t="shared" si="5"/>
        <v>117794.26492144747</v>
      </c>
      <c r="H32" s="16">
        <f t="shared" si="5"/>
        <v>134426.2740745115</v>
      </c>
      <c r="I32" s="16">
        <f t="shared" si="5"/>
        <v>152055.82581845613</v>
      </c>
      <c r="J32" s="16">
        <f t="shared" si="5"/>
        <v>170740.99798515852</v>
      </c>
      <c r="K32" s="16">
        <f t="shared" si="5"/>
        <v>188443.03661933765</v>
      </c>
      <c r="L32" s="16">
        <f t="shared" si="5"/>
        <v>209426.52289643645</v>
      </c>
      <c r="M32" s="16">
        <f t="shared" si="5"/>
        <v>231659.54866655305</v>
      </c>
      <c r="N32" s="16">
        <f t="shared" si="5"/>
        <v>255213.90106541803</v>
      </c>
      <c r="O32" s="16">
        <f t="shared" si="5"/>
        <v>280165.2566558232</v>
      </c>
    </row>
    <row r="33" spans="1:15" ht="12.75">
      <c r="A33" t="s">
        <v>94</v>
      </c>
      <c r="E33" s="16">
        <f>D33+E32</f>
        <v>0</v>
      </c>
      <c r="F33" s="16">
        <f aca="true" t="shared" si="6" ref="F33:O33">E33+F32</f>
        <v>3883.5149999999558</v>
      </c>
      <c r="G33" s="16">
        <f t="shared" si="6"/>
        <v>121677.77992144742</v>
      </c>
      <c r="H33" s="16">
        <f t="shared" si="6"/>
        <v>256104.0539959589</v>
      </c>
      <c r="I33" s="16">
        <f t="shared" si="6"/>
        <v>408159.879814415</v>
      </c>
      <c r="J33" s="16">
        <f t="shared" si="6"/>
        <v>578900.8777995736</v>
      </c>
      <c r="K33" s="16">
        <f t="shared" si="6"/>
        <v>767343.9144189112</v>
      </c>
      <c r="L33" s="16">
        <f t="shared" si="6"/>
        <v>976770.4373153476</v>
      </c>
      <c r="M33" s="16">
        <f t="shared" si="6"/>
        <v>1208429.9859819007</v>
      </c>
      <c r="N33" s="16">
        <f t="shared" si="6"/>
        <v>1463643.8870473187</v>
      </c>
      <c r="O33" s="16">
        <f t="shared" si="6"/>
        <v>1743809.143703142</v>
      </c>
    </row>
    <row r="34" spans="1:15" ht="12.75">
      <c r="A34" t="s">
        <v>82</v>
      </c>
      <c r="E34" s="16">
        <f>E22</f>
        <v>0</v>
      </c>
      <c r="F34" s="16">
        <f aca="true" t="shared" si="7" ref="F34:O34">F22</f>
        <v>28042.95</v>
      </c>
      <c r="G34" s="16">
        <f t="shared" si="7"/>
        <v>103770.67178794747</v>
      </c>
      <c r="H34" s="16">
        <f t="shared" si="7"/>
        <v>120472.81857399904</v>
      </c>
      <c r="I34" s="16">
        <f t="shared" si="7"/>
        <v>138175.82805417484</v>
      </c>
      <c r="J34" s="16">
        <f t="shared" si="7"/>
        <v>156937.94003379057</v>
      </c>
      <c r="K34" s="16">
        <f t="shared" si="7"/>
        <v>180720.57054840738</v>
      </c>
      <c r="L34" s="16">
        <f t="shared" si="7"/>
        <v>201788.4791814955</v>
      </c>
      <c r="M34" s="16">
        <f t="shared" si="7"/>
        <v>224109.94502816437</v>
      </c>
      <c r="N34" s="16">
        <f t="shared" si="7"/>
        <v>247756.95174696043</v>
      </c>
      <c r="O34" s="16">
        <f t="shared" si="7"/>
        <v>272805.3821641942</v>
      </c>
    </row>
    <row r="35" spans="1:15" ht="12.75">
      <c r="A35" t="s">
        <v>93</v>
      </c>
      <c r="E35" s="16">
        <f>D34+E34</f>
        <v>0</v>
      </c>
      <c r="F35" s="16">
        <f>E35+F34</f>
        <v>28042.95</v>
      </c>
      <c r="G35" s="16">
        <f aca="true" t="shared" si="8" ref="G35:O35">F35+G34</f>
        <v>131813.6217879475</v>
      </c>
      <c r="H35" s="16">
        <f t="shared" si="8"/>
        <v>252286.44036194653</v>
      </c>
      <c r="I35" s="16">
        <f t="shared" si="8"/>
        <v>390462.26841612137</v>
      </c>
      <c r="J35" s="16">
        <f t="shared" si="8"/>
        <v>547400.2084499119</v>
      </c>
      <c r="K35" s="16">
        <f t="shared" si="8"/>
        <v>728120.7789983193</v>
      </c>
      <c r="L35" s="16">
        <f t="shared" si="8"/>
        <v>929909.2581798148</v>
      </c>
      <c r="M35" s="16">
        <f t="shared" si="8"/>
        <v>1154019.2032079792</v>
      </c>
      <c r="N35" s="16">
        <f t="shared" si="8"/>
        <v>1401776.1549549396</v>
      </c>
      <c r="O35" s="16">
        <f t="shared" si="8"/>
        <v>1674581.5371191339</v>
      </c>
    </row>
    <row r="36" spans="5:15" ht="12.75" hidden="1">
      <c r="E36" s="16">
        <f>IF(E33&lt;=E35,E32,E35)</f>
        <v>0</v>
      </c>
      <c r="F36" s="16">
        <f aca="true" t="shared" si="9" ref="F36:O36">IF(F33&lt;=F35,F33,F35)</f>
        <v>3883.5149999999558</v>
      </c>
      <c r="G36" s="16">
        <f t="shared" si="9"/>
        <v>121677.77992144742</v>
      </c>
      <c r="H36" s="16">
        <f t="shared" si="9"/>
        <v>252286.44036194653</v>
      </c>
      <c r="I36" s="16">
        <f t="shared" si="9"/>
        <v>390462.26841612137</v>
      </c>
      <c r="J36" s="16">
        <f t="shared" si="9"/>
        <v>547400.2084499119</v>
      </c>
      <c r="K36" s="16">
        <f t="shared" si="9"/>
        <v>728120.7789983193</v>
      </c>
      <c r="L36" s="16">
        <f t="shared" si="9"/>
        <v>929909.2581798148</v>
      </c>
      <c r="M36" s="16">
        <f t="shared" si="9"/>
        <v>1154019.2032079792</v>
      </c>
      <c r="N36" s="16">
        <f t="shared" si="9"/>
        <v>1401776.1549549396</v>
      </c>
      <c r="O36" s="16">
        <f t="shared" si="9"/>
        <v>1674581.5371191339</v>
      </c>
    </row>
    <row r="37" spans="1:15" ht="12.75">
      <c r="A37" t="s">
        <v>136</v>
      </c>
      <c r="E37" s="16">
        <f aca="true" t="shared" si="10" ref="E37:O37">IF(E36&gt;0,E36,0)</f>
        <v>0</v>
      </c>
      <c r="F37" s="16">
        <f t="shared" si="10"/>
        <v>3883.5149999999558</v>
      </c>
      <c r="G37" s="16">
        <f t="shared" si="10"/>
        <v>121677.77992144742</v>
      </c>
      <c r="H37" s="16">
        <f t="shared" si="10"/>
        <v>252286.44036194653</v>
      </c>
      <c r="I37" s="16">
        <f t="shared" si="10"/>
        <v>390462.26841612137</v>
      </c>
      <c r="J37" s="16">
        <f t="shared" si="10"/>
        <v>547400.2084499119</v>
      </c>
      <c r="K37" s="16">
        <f t="shared" si="10"/>
        <v>728120.7789983193</v>
      </c>
      <c r="L37" s="16">
        <f t="shared" si="10"/>
        <v>929909.2581798148</v>
      </c>
      <c r="M37" s="16">
        <f t="shared" si="10"/>
        <v>1154019.2032079792</v>
      </c>
      <c r="N37" s="16">
        <f t="shared" si="10"/>
        <v>1401776.1549549396</v>
      </c>
      <c r="O37" s="16">
        <f t="shared" si="10"/>
        <v>1674581.5371191339</v>
      </c>
    </row>
    <row r="38" spans="1:15" ht="12.75">
      <c r="A38" t="s">
        <v>137</v>
      </c>
      <c r="E38" s="16">
        <f>E37-D37</f>
        <v>0</v>
      </c>
      <c r="F38" s="16">
        <f aca="true" t="shared" si="11" ref="F38:O38">F37-E37</f>
        <v>3883.5149999999558</v>
      </c>
      <c r="G38" s="16">
        <f t="shared" si="11"/>
        <v>117794.26492144747</v>
      </c>
      <c r="H38" s="16">
        <f t="shared" si="11"/>
        <v>130608.66044049911</v>
      </c>
      <c r="I38" s="16">
        <f t="shared" si="11"/>
        <v>138175.82805417484</v>
      </c>
      <c r="J38" s="16">
        <f t="shared" si="11"/>
        <v>156937.94003379054</v>
      </c>
      <c r="K38" s="16">
        <f t="shared" si="11"/>
        <v>180720.57054840738</v>
      </c>
      <c r="L38" s="16">
        <f t="shared" si="11"/>
        <v>201788.4791814955</v>
      </c>
      <c r="M38" s="16">
        <f t="shared" si="11"/>
        <v>224109.94502816442</v>
      </c>
      <c r="N38" s="16">
        <f t="shared" si="11"/>
        <v>247756.9517469604</v>
      </c>
      <c r="O38" s="16">
        <f t="shared" si="11"/>
        <v>272805.38216419425</v>
      </c>
    </row>
    <row r="39" spans="5:15" ht="12.75"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1:15" ht="12.75">
      <c r="A40" s="60" t="s">
        <v>96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</row>
    <row r="41" ht="12.75">
      <c r="A41" s="37"/>
    </row>
    <row r="42" spans="1:15" ht="12.75">
      <c r="A42" s="58"/>
      <c r="B42" s="58"/>
      <c r="C42" s="58"/>
      <c r="D42" s="58"/>
      <c r="E42" s="62" t="s">
        <v>0</v>
      </c>
      <c r="F42" s="62" t="s">
        <v>1</v>
      </c>
      <c r="G42" s="62" t="s">
        <v>2</v>
      </c>
      <c r="H42" s="62" t="s">
        <v>3</v>
      </c>
      <c r="I42" s="62" t="s">
        <v>4</v>
      </c>
      <c r="J42" s="62" t="s">
        <v>5</v>
      </c>
      <c r="K42" s="62" t="s">
        <v>6</v>
      </c>
      <c r="L42" s="62" t="s">
        <v>7</v>
      </c>
      <c r="M42" s="62" t="s">
        <v>8</v>
      </c>
      <c r="N42" s="62" t="s">
        <v>9</v>
      </c>
      <c r="O42" s="62" t="s">
        <v>10</v>
      </c>
    </row>
    <row r="43" spans="1:15" ht="12.75">
      <c r="A43" t="str">
        <f>A12</f>
        <v>Caja necesaria</v>
      </c>
      <c r="E43" s="16">
        <f aca="true" t="shared" si="12" ref="E43:O43">E12</f>
        <v>0</v>
      </c>
      <c r="F43" s="16">
        <f t="shared" si="12"/>
        <v>26506.29</v>
      </c>
      <c r="G43" s="16">
        <f t="shared" si="12"/>
        <v>27557.227911</v>
      </c>
      <c r="H43" s="16">
        <f t="shared" si="12"/>
        <v>28654.9242439917</v>
      </c>
      <c r="I43" s="16">
        <f t="shared" si="12"/>
        <v>29801.59240113751</v>
      </c>
      <c r="J43" s="16">
        <f t="shared" si="12"/>
        <v>30999.5537668922</v>
      </c>
      <c r="K43" s="16">
        <f t="shared" si="12"/>
        <v>32251.24305293868</v>
      </c>
      <c r="L43" s="16">
        <f t="shared" si="12"/>
        <v>33559.21390964472</v>
      </c>
      <c r="M43" s="16">
        <f t="shared" si="12"/>
        <v>34926.1448173856</v>
      </c>
      <c r="N43" s="16">
        <f t="shared" si="12"/>
        <v>36354.84527174716</v>
      </c>
      <c r="O43" s="16">
        <f t="shared" si="12"/>
        <v>37848.26227732783</v>
      </c>
    </row>
    <row r="44" spans="1:15" ht="12.75">
      <c r="A44" t="s">
        <v>144</v>
      </c>
      <c r="E44" s="22">
        <f>E49-E48-E47-E46-E45-E43</f>
        <v>0</v>
      </c>
      <c r="F44" s="22">
        <f>F49-F48-F47-F46-F45-F43</f>
        <v>3.637978807091713E-11</v>
      </c>
      <c r="G44" s="22">
        <f aca="true" t="shared" si="13" ref="G44:O44">G49-G48-G47-G46-G45-G43</f>
        <v>1.0913936421275139E-10</v>
      </c>
      <c r="H44" s="22">
        <f t="shared" si="13"/>
        <v>3817.6136340123776</v>
      </c>
      <c r="I44" s="22">
        <f t="shared" si="13"/>
        <v>17697.611398293673</v>
      </c>
      <c r="J44" s="22">
        <f t="shared" si="13"/>
        <v>31500.669349661668</v>
      </c>
      <c r="K44" s="22">
        <f t="shared" si="13"/>
        <v>39223.13542059201</v>
      </c>
      <c r="L44" s="22">
        <f t="shared" si="13"/>
        <v>46861.179135532904</v>
      </c>
      <c r="M44" s="22">
        <f t="shared" si="13"/>
        <v>54410.78277392158</v>
      </c>
      <c r="N44" s="22">
        <f t="shared" si="13"/>
        <v>61867.73209237921</v>
      </c>
      <c r="O44" s="22">
        <f t="shared" si="13"/>
        <v>69227.60658400826</v>
      </c>
    </row>
    <row r="45" spans="1:15" ht="12.75">
      <c r="A45" t="str">
        <f>A14</f>
        <v>Clientes</v>
      </c>
      <c r="E45" s="16">
        <f aca="true" t="shared" si="14" ref="E45:O46">E14</f>
        <v>0</v>
      </c>
      <c r="F45" s="16">
        <f t="shared" si="14"/>
        <v>106025.16</v>
      </c>
      <c r="G45" s="16">
        <f t="shared" si="14"/>
        <v>110228.911644</v>
      </c>
      <c r="H45" s="16">
        <f t="shared" si="14"/>
        <v>114619.6969759668</v>
      </c>
      <c r="I45" s="16">
        <f t="shared" si="14"/>
        <v>119206.36960455004</v>
      </c>
      <c r="J45" s="16">
        <f t="shared" si="14"/>
        <v>123998.2150675688</v>
      </c>
      <c r="K45" s="16">
        <f t="shared" si="14"/>
        <v>129004.97221175472</v>
      </c>
      <c r="L45" s="16">
        <f t="shared" si="14"/>
        <v>134236.85563857888</v>
      </c>
      <c r="M45" s="16">
        <f t="shared" si="14"/>
        <v>139704.5792695424</v>
      </c>
      <c r="N45" s="16">
        <f t="shared" si="14"/>
        <v>145419.38108698864</v>
      </c>
      <c r="O45" s="16">
        <f t="shared" si="14"/>
        <v>151393.0491093113</v>
      </c>
    </row>
    <row r="46" spans="1:15" ht="12.75">
      <c r="A46" t="s">
        <v>170</v>
      </c>
      <c r="E46" s="16">
        <f t="shared" si="14"/>
        <v>0</v>
      </c>
      <c r="F46" s="16">
        <f t="shared" si="14"/>
        <v>66265.725</v>
      </c>
      <c r="G46" s="16">
        <f t="shared" si="14"/>
        <v>68893.0697775</v>
      </c>
      <c r="H46" s="16">
        <f t="shared" si="14"/>
        <v>71637.31060997925</v>
      </c>
      <c r="I46" s="16">
        <f t="shared" si="14"/>
        <v>74503.98100284378</v>
      </c>
      <c r="J46" s="16">
        <f t="shared" si="14"/>
        <v>77498.8844172305</v>
      </c>
      <c r="K46" s="16">
        <f t="shared" si="14"/>
        <v>80628.1076323467</v>
      </c>
      <c r="L46" s="16">
        <f t="shared" si="14"/>
        <v>83898.03477411182</v>
      </c>
      <c r="M46" s="16">
        <f t="shared" si="14"/>
        <v>87315.36204346399</v>
      </c>
      <c r="N46" s="16">
        <f t="shared" si="14"/>
        <v>90887.11317936791</v>
      </c>
      <c r="O46" s="16">
        <f t="shared" si="14"/>
        <v>94620.65569331957</v>
      </c>
    </row>
    <row r="47" spans="1:15" ht="12.75">
      <c r="A47" t="str">
        <f>A16</f>
        <v>Inmovilizado neto</v>
      </c>
      <c r="E47" s="16">
        <f aca="true" t="shared" si="15" ref="E47:O47">E16</f>
        <v>600000</v>
      </c>
      <c r="F47" s="16">
        <f t="shared" si="15"/>
        <v>540000</v>
      </c>
      <c r="G47" s="16">
        <f t="shared" si="15"/>
        <v>480000</v>
      </c>
      <c r="H47" s="16">
        <f t="shared" si="15"/>
        <v>420000</v>
      </c>
      <c r="I47" s="16">
        <f t="shared" si="15"/>
        <v>360000</v>
      </c>
      <c r="J47" s="16">
        <f t="shared" si="15"/>
        <v>300000</v>
      </c>
      <c r="K47" s="16">
        <f t="shared" si="15"/>
        <v>240000</v>
      </c>
      <c r="L47" s="16">
        <f t="shared" si="15"/>
        <v>180000</v>
      </c>
      <c r="M47" s="16">
        <f t="shared" si="15"/>
        <v>120000</v>
      </c>
      <c r="N47" s="16">
        <f t="shared" si="15"/>
        <v>60000</v>
      </c>
      <c r="O47" s="16">
        <f t="shared" si="15"/>
        <v>0</v>
      </c>
    </row>
    <row r="48" spans="1:15" ht="12.75">
      <c r="A48" t="str">
        <f>A17</f>
        <v>Gastos amortizables netos</v>
      </c>
      <c r="E48" s="16">
        <f aca="true" t="shared" si="16" ref="E48:O48">E17</f>
        <v>30000</v>
      </c>
      <c r="F48" s="16">
        <f t="shared" si="16"/>
        <v>24000</v>
      </c>
      <c r="G48" s="16">
        <f t="shared" si="16"/>
        <v>18000</v>
      </c>
      <c r="H48" s="16">
        <f t="shared" si="16"/>
        <v>12000</v>
      </c>
      <c r="I48" s="16">
        <f t="shared" si="16"/>
        <v>6000</v>
      </c>
      <c r="J48" s="16">
        <f t="shared" si="16"/>
        <v>0</v>
      </c>
      <c r="K48" s="16">
        <f t="shared" si="16"/>
        <v>0</v>
      </c>
      <c r="L48" s="16">
        <f t="shared" si="16"/>
        <v>0</v>
      </c>
      <c r="M48" s="16">
        <f t="shared" si="16"/>
        <v>0</v>
      </c>
      <c r="N48" s="16">
        <f t="shared" si="16"/>
        <v>0</v>
      </c>
      <c r="O48" s="16">
        <f t="shared" si="16"/>
        <v>0</v>
      </c>
    </row>
    <row r="49" spans="1:15" s="48" customFormat="1" ht="12.75">
      <c r="A49" s="9" t="str">
        <f>A18</f>
        <v>Total Activo</v>
      </c>
      <c r="E49" s="14">
        <f>E55</f>
        <v>630000</v>
      </c>
      <c r="F49" s="14">
        <f aca="true" t="shared" si="17" ref="F49:O49">F55</f>
        <v>762797.175</v>
      </c>
      <c r="G49" s="14">
        <f t="shared" si="17"/>
        <v>704679.2093325001</v>
      </c>
      <c r="H49" s="14">
        <f t="shared" si="17"/>
        <v>650729.5454639501</v>
      </c>
      <c r="I49" s="14">
        <f t="shared" si="17"/>
        <v>607209.554406825</v>
      </c>
      <c r="J49" s="14">
        <f t="shared" si="17"/>
        <v>563997.3226013532</v>
      </c>
      <c r="K49" s="14">
        <f t="shared" si="17"/>
        <v>521107.4583176321</v>
      </c>
      <c r="L49" s="14">
        <f t="shared" si="17"/>
        <v>478555.2834578683</v>
      </c>
      <c r="M49" s="14">
        <f t="shared" si="17"/>
        <v>436356.86890431354</v>
      </c>
      <c r="N49" s="14">
        <f t="shared" si="17"/>
        <v>394529.0716304829</v>
      </c>
      <c r="O49" s="14">
        <f t="shared" si="17"/>
        <v>353089.57366396696</v>
      </c>
    </row>
    <row r="50" spans="5:15" ht="12.75"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1:15" ht="12.75">
      <c r="A51" t="str">
        <f>A20</f>
        <v>Proveedores</v>
      </c>
      <c r="E51" s="16">
        <f aca="true" t="shared" si="18" ref="E51:O51">E20</f>
        <v>0</v>
      </c>
      <c r="F51" s="16">
        <f t="shared" si="18"/>
        <v>159037.74</v>
      </c>
      <c r="G51" s="16">
        <f t="shared" si="18"/>
        <v>165343.367466</v>
      </c>
      <c r="H51" s="16">
        <f t="shared" si="18"/>
        <v>171929.5454639502</v>
      </c>
      <c r="I51" s="16">
        <f t="shared" si="18"/>
        <v>178809.55440682505</v>
      </c>
      <c r="J51" s="16">
        <f t="shared" si="18"/>
        <v>185997.3226013532</v>
      </c>
      <c r="K51" s="16">
        <f t="shared" si="18"/>
        <v>193507.45831763206</v>
      </c>
      <c r="L51" s="16">
        <f t="shared" si="18"/>
        <v>201355.28345786833</v>
      </c>
      <c r="M51" s="16">
        <f t="shared" si="18"/>
        <v>209556.86890431357</v>
      </c>
      <c r="N51" s="16">
        <f t="shared" si="18"/>
        <v>218129.07163048294</v>
      </c>
      <c r="O51" s="16">
        <f t="shared" si="18"/>
        <v>227089.57366396696</v>
      </c>
    </row>
    <row r="52" spans="1:15" ht="12.75">
      <c r="A52" t="str">
        <f aca="true" t="shared" si="19" ref="A52:O52">A21</f>
        <v>Deuda principal</v>
      </c>
      <c r="E52" s="16">
        <f t="shared" si="19"/>
        <v>504000</v>
      </c>
      <c r="F52" s="16">
        <f t="shared" si="19"/>
        <v>453600</v>
      </c>
      <c r="G52" s="16">
        <f t="shared" si="19"/>
        <v>403200</v>
      </c>
      <c r="H52" s="16">
        <f t="shared" si="19"/>
        <v>352800</v>
      </c>
      <c r="I52" s="16">
        <f t="shared" si="19"/>
        <v>302400</v>
      </c>
      <c r="J52" s="16">
        <f t="shared" si="19"/>
        <v>252000</v>
      </c>
      <c r="K52" s="16">
        <f t="shared" si="19"/>
        <v>201600</v>
      </c>
      <c r="L52" s="16">
        <f t="shared" si="19"/>
        <v>151200</v>
      </c>
      <c r="M52" s="16">
        <f t="shared" si="19"/>
        <v>100800</v>
      </c>
      <c r="N52" s="16">
        <f t="shared" si="19"/>
        <v>50400</v>
      </c>
      <c r="O52" s="16">
        <f t="shared" si="19"/>
        <v>0</v>
      </c>
    </row>
    <row r="53" spans="1:15" ht="12.75">
      <c r="A53" t="s">
        <v>92</v>
      </c>
      <c r="E53" s="16">
        <f>E35-E37</f>
        <v>0</v>
      </c>
      <c r="F53" s="16">
        <f aca="true" t="shared" si="20" ref="F53:O53">F35-F37</f>
        <v>24159.435000000045</v>
      </c>
      <c r="G53" s="16">
        <f t="shared" si="20"/>
        <v>10135.841866500064</v>
      </c>
      <c r="H53" s="16">
        <f t="shared" si="20"/>
        <v>0</v>
      </c>
      <c r="I53" s="16">
        <f t="shared" si="20"/>
        <v>0</v>
      </c>
      <c r="J53" s="16">
        <f t="shared" si="20"/>
        <v>0</v>
      </c>
      <c r="K53" s="16">
        <f t="shared" si="20"/>
        <v>0</v>
      </c>
      <c r="L53" s="16">
        <f t="shared" si="20"/>
        <v>0</v>
      </c>
      <c r="M53" s="16">
        <f t="shared" si="20"/>
        <v>0</v>
      </c>
      <c r="N53" s="16">
        <f t="shared" si="20"/>
        <v>0</v>
      </c>
      <c r="O53" s="16">
        <f t="shared" si="20"/>
        <v>0</v>
      </c>
    </row>
    <row r="54" spans="1:15" ht="12.75">
      <c r="A54" t="str">
        <f>A24</f>
        <v>Capital</v>
      </c>
      <c r="E54" s="16">
        <f aca="true" t="shared" si="21" ref="E54:O54">E24</f>
        <v>126000</v>
      </c>
      <c r="F54" s="16">
        <f t="shared" si="21"/>
        <v>126000</v>
      </c>
      <c r="G54" s="16">
        <f t="shared" si="21"/>
        <v>126000</v>
      </c>
      <c r="H54" s="16">
        <f t="shared" si="21"/>
        <v>126000</v>
      </c>
      <c r="I54" s="16">
        <f t="shared" si="21"/>
        <v>126000</v>
      </c>
      <c r="J54" s="16">
        <f t="shared" si="21"/>
        <v>126000</v>
      </c>
      <c r="K54" s="16">
        <f t="shared" si="21"/>
        <v>126000</v>
      </c>
      <c r="L54" s="16">
        <f t="shared" si="21"/>
        <v>126000</v>
      </c>
      <c r="M54" s="16">
        <f t="shared" si="21"/>
        <v>126000</v>
      </c>
      <c r="N54" s="16">
        <f t="shared" si="21"/>
        <v>126000</v>
      </c>
      <c r="O54" s="16">
        <f t="shared" si="21"/>
        <v>126000</v>
      </c>
    </row>
    <row r="55" spans="1:15" s="48" customFormat="1" ht="12.75">
      <c r="A55" s="9" t="str">
        <f>A25</f>
        <v>Total Pasivo</v>
      </c>
      <c r="E55" s="14">
        <f>SUM(E51:E54)</f>
        <v>630000</v>
      </c>
      <c r="F55" s="14">
        <f aca="true" t="shared" si="22" ref="F55:O55">SUM(F51:F54)</f>
        <v>762797.175</v>
      </c>
      <c r="G55" s="14">
        <f t="shared" si="22"/>
        <v>704679.2093325001</v>
      </c>
      <c r="H55" s="14">
        <f t="shared" si="22"/>
        <v>650729.5454639501</v>
      </c>
      <c r="I55" s="14">
        <f t="shared" si="22"/>
        <v>607209.554406825</v>
      </c>
      <c r="J55" s="14">
        <f t="shared" si="22"/>
        <v>563997.3226013532</v>
      </c>
      <c r="K55" s="14">
        <f t="shared" si="22"/>
        <v>521107.4583176321</v>
      </c>
      <c r="L55" s="14">
        <f t="shared" si="22"/>
        <v>478555.2834578683</v>
      </c>
      <c r="M55" s="14">
        <f t="shared" si="22"/>
        <v>436356.86890431354</v>
      </c>
      <c r="N55" s="14">
        <f t="shared" si="22"/>
        <v>394529.0716304829</v>
      </c>
      <c r="O55" s="14">
        <f t="shared" si="22"/>
        <v>353089.57366396696</v>
      </c>
    </row>
    <row r="57" spans="1:15" ht="12.75">
      <c r="A57" s="60" t="s">
        <v>171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</row>
    <row r="58" spans="5:15" ht="12.75" hidden="1">
      <c r="E58">
        <v>0</v>
      </c>
      <c r="F58">
        <v>1</v>
      </c>
      <c r="G58">
        <v>2</v>
      </c>
      <c r="H58">
        <v>3</v>
      </c>
      <c r="I58">
        <v>4</v>
      </c>
      <c r="J58">
        <v>5</v>
      </c>
      <c r="K58">
        <v>6</v>
      </c>
      <c r="L58">
        <v>7</v>
      </c>
      <c r="M58">
        <v>8</v>
      </c>
      <c r="N58">
        <v>9</v>
      </c>
      <c r="O58">
        <v>10</v>
      </c>
    </row>
    <row r="60" spans="1:15" ht="12.75">
      <c r="A60" s="58"/>
      <c r="B60" s="58"/>
      <c r="C60" s="58"/>
      <c r="D60" s="58"/>
      <c r="E60" s="62" t="s">
        <v>0</v>
      </c>
      <c r="F60" s="62" t="s">
        <v>1</v>
      </c>
      <c r="G60" s="62" t="s">
        <v>2</v>
      </c>
      <c r="H60" s="62" t="s">
        <v>3</v>
      </c>
      <c r="I60" s="62" t="s">
        <v>4</v>
      </c>
      <c r="J60" s="62" t="s">
        <v>5</v>
      </c>
      <c r="K60" s="62" t="s">
        <v>6</v>
      </c>
      <c r="L60" s="62" t="s">
        <v>7</v>
      </c>
      <c r="M60" s="62" t="s">
        <v>8</v>
      </c>
      <c r="N60" s="62" t="s">
        <v>9</v>
      </c>
      <c r="O60" s="62" t="s">
        <v>10</v>
      </c>
    </row>
    <row r="61" spans="1:5" ht="12.75">
      <c r="A61" t="s">
        <v>98</v>
      </c>
      <c r="E61" s="16">
        <f>E54</f>
        <v>126000</v>
      </c>
    </row>
    <row r="62" spans="1:15" ht="12.75">
      <c r="A62" t="s">
        <v>137</v>
      </c>
      <c r="E62" s="16">
        <f>E38</f>
        <v>0</v>
      </c>
      <c r="F62" s="16">
        <f aca="true" t="shared" si="23" ref="F62:O62">F38</f>
        <v>3883.5149999999558</v>
      </c>
      <c r="G62" s="16">
        <f t="shared" si="23"/>
        <v>117794.26492144747</v>
      </c>
      <c r="H62" s="16">
        <f t="shared" si="23"/>
        <v>130608.66044049911</v>
      </c>
      <c r="I62" s="16">
        <f t="shared" si="23"/>
        <v>138175.82805417484</v>
      </c>
      <c r="J62" s="16">
        <f t="shared" si="23"/>
        <v>156937.94003379054</v>
      </c>
      <c r="K62" s="16">
        <f t="shared" si="23"/>
        <v>180720.57054840738</v>
      </c>
      <c r="L62" s="16">
        <f t="shared" si="23"/>
        <v>201788.4791814955</v>
      </c>
      <c r="M62" s="16">
        <f t="shared" si="23"/>
        <v>224109.94502816442</v>
      </c>
      <c r="N62" s="16">
        <f t="shared" si="23"/>
        <v>247756.9517469604</v>
      </c>
      <c r="O62" s="16">
        <f t="shared" si="23"/>
        <v>272805.38216419425</v>
      </c>
    </row>
    <row r="63" spans="1:15" ht="12.75">
      <c r="A63" t="s">
        <v>99</v>
      </c>
      <c r="E63" s="32">
        <v>0.1</v>
      </c>
      <c r="F63" s="17">
        <f>E63</f>
        <v>0.1</v>
      </c>
      <c r="G63" s="17">
        <f aca="true" t="shared" si="24" ref="G63:O63">F63</f>
        <v>0.1</v>
      </c>
      <c r="H63" s="17">
        <f t="shared" si="24"/>
        <v>0.1</v>
      </c>
      <c r="I63" s="17">
        <f t="shared" si="24"/>
        <v>0.1</v>
      </c>
      <c r="J63" s="17">
        <f t="shared" si="24"/>
        <v>0.1</v>
      </c>
      <c r="K63" s="17">
        <f t="shared" si="24"/>
        <v>0.1</v>
      </c>
      <c r="L63" s="17">
        <f t="shared" si="24"/>
        <v>0.1</v>
      </c>
      <c r="M63" s="17">
        <f t="shared" si="24"/>
        <v>0.1</v>
      </c>
      <c r="N63" s="17">
        <f t="shared" si="24"/>
        <v>0.1</v>
      </c>
      <c r="O63" s="17">
        <f t="shared" si="24"/>
        <v>0.1</v>
      </c>
    </row>
    <row r="64" spans="1:15" ht="12.75">
      <c r="A64" t="s">
        <v>100</v>
      </c>
      <c r="E64" s="21">
        <f>(1+E63)^E58</f>
        <v>1</v>
      </c>
      <c r="F64" s="21">
        <f aca="true" t="shared" si="25" ref="F64:O64">(1+F63)^F58</f>
        <v>1.1</v>
      </c>
      <c r="G64" s="21">
        <f t="shared" si="25"/>
        <v>1.2100000000000002</v>
      </c>
      <c r="H64" s="21">
        <f t="shared" si="25"/>
        <v>1.3310000000000004</v>
      </c>
      <c r="I64" s="21">
        <f t="shared" si="25"/>
        <v>1.4641000000000004</v>
      </c>
      <c r="J64" s="21">
        <f t="shared" si="25"/>
        <v>1.6105100000000006</v>
      </c>
      <c r="K64" s="21">
        <f t="shared" si="25"/>
        <v>1.7715610000000008</v>
      </c>
      <c r="L64" s="21">
        <f t="shared" si="25"/>
        <v>1.9487171000000012</v>
      </c>
      <c r="M64" s="21">
        <f t="shared" si="25"/>
        <v>2.143588810000001</v>
      </c>
      <c r="N64" s="21">
        <f t="shared" si="25"/>
        <v>2.3579476910000015</v>
      </c>
      <c r="O64" s="21">
        <f t="shared" si="25"/>
        <v>2.593742460100002</v>
      </c>
    </row>
    <row r="65" spans="1:15" ht="12.75">
      <c r="A65" t="s">
        <v>101</v>
      </c>
      <c r="E65" s="16">
        <f>E62/E64</f>
        <v>0</v>
      </c>
      <c r="F65" s="16">
        <f aca="true" t="shared" si="26" ref="F65:O65">F62/F64</f>
        <v>3530.468181818141</v>
      </c>
      <c r="G65" s="16">
        <f t="shared" si="26"/>
        <v>97350.63216648549</v>
      </c>
      <c r="H65" s="16">
        <f t="shared" si="26"/>
        <v>98128.21971487533</v>
      </c>
      <c r="I65" s="16">
        <f t="shared" si="26"/>
        <v>94375.9497672118</v>
      </c>
      <c r="J65" s="16">
        <f t="shared" si="26"/>
        <v>97446.11336395955</v>
      </c>
      <c r="K65" s="16">
        <f t="shared" si="26"/>
        <v>102012.05069902042</v>
      </c>
      <c r="L65" s="16">
        <f t="shared" si="26"/>
        <v>103549.39625741231</v>
      </c>
      <c r="M65" s="16">
        <f t="shared" si="26"/>
        <v>104548.9433340363</v>
      </c>
      <c r="N65" s="16">
        <f t="shared" si="26"/>
        <v>105073.13317111251</v>
      </c>
      <c r="O65" s="16">
        <f t="shared" si="26"/>
        <v>105178.28441366389</v>
      </c>
    </row>
    <row r="66" spans="1:5" ht="12.75">
      <c r="A66" t="s">
        <v>102</v>
      </c>
      <c r="E66" s="16">
        <f>SUM(E65:O65)</f>
        <v>911193.1910695956</v>
      </c>
    </row>
    <row r="67" spans="1:5" ht="12.75">
      <c r="A67" s="4" t="s">
        <v>103</v>
      </c>
      <c r="E67" s="13">
        <f>E66-E61</f>
        <v>785193.1910695956</v>
      </c>
    </row>
    <row r="68" spans="1:5" ht="12.75">
      <c r="A68" s="4"/>
      <c r="E68" s="13"/>
    </row>
    <row r="69" spans="1:15" ht="12.75">
      <c r="A69" s="58"/>
      <c r="B69" s="58"/>
      <c r="C69" s="58"/>
      <c r="D69" s="58"/>
      <c r="E69" s="62" t="s">
        <v>0</v>
      </c>
      <c r="F69" s="62" t="s">
        <v>1</v>
      </c>
      <c r="G69" s="62" t="s">
        <v>2</v>
      </c>
      <c r="H69" s="62" t="s">
        <v>3</v>
      </c>
      <c r="I69" s="62" t="s">
        <v>4</v>
      </c>
      <c r="J69" s="62" t="s">
        <v>5</v>
      </c>
      <c r="K69" s="62" t="s">
        <v>6</v>
      </c>
      <c r="L69" s="62" t="s">
        <v>7</v>
      </c>
      <c r="M69" s="62" t="s">
        <v>8</v>
      </c>
      <c r="N69" s="62" t="s">
        <v>9</v>
      </c>
      <c r="O69" s="62" t="s">
        <v>10</v>
      </c>
    </row>
    <row r="70" spans="1:15" ht="12.75">
      <c r="A70" t="s">
        <v>105</v>
      </c>
      <c r="E70" s="16">
        <f>-E61</f>
        <v>-126000</v>
      </c>
      <c r="F70" s="16">
        <f>F62</f>
        <v>3883.5149999999558</v>
      </c>
      <c r="G70" s="16">
        <f aca="true" t="shared" si="27" ref="G70:O70">G62</f>
        <v>117794.26492144747</v>
      </c>
      <c r="H70" s="16">
        <f t="shared" si="27"/>
        <v>130608.66044049911</v>
      </c>
      <c r="I70" s="16">
        <f t="shared" si="27"/>
        <v>138175.82805417484</v>
      </c>
      <c r="J70" s="16">
        <f t="shared" si="27"/>
        <v>156937.94003379054</v>
      </c>
      <c r="K70" s="16">
        <f t="shared" si="27"/>
        <v>180720.57054840738</v>
      </c>
      <c r="L70" s="16">
        <f t="shared" si="27"/>
        <v>201788.4791814955</v>
      </c>
      <c r="M70" s="16">
        <f t="shared" si="27"/>
        <v>224109.94502816442</v>
      </c>
      <c r="N70" s="16">
        <f t="shared" si="27"/>
        <v>247756.9517469604</v>
      </c>
      <c r="O70" s="16">
        <f t="shared" si="27"/>
        <v>272805.38216419425</v>
      </c>
    </row>
    <row r="71" spans="1:15" ht="12.75">
      <c r="A71" s="4" t="s">
        <v>104</v>
      </c>
      <c r="E71" s="23">
        <f>IRR(E70:O70,0.5)</f>
        <v>0.6632703576464994</v>
      </c>
      <c r="F71" t="s">
        <v>114</v>
      </c>
      <c r="G71" t="s">
        <v>114</v>
      </c>
      <c r="H71" t="s">
        <v>114</v>
      </c>
      <c r="I71" t="s">
        <v>114</v>
      </c>
      <c r="J71" t="s">
        <v>114</v>
      </c>
      <c r="K71" t="s">
        <v>114</v>
      </c>
      <c r="L71" t="s">
        <v>114</v>
      </c>
      <c r="M71" t="s">
        <v>114</v>
      </c>
      <c r="N71" t="s">
        <v>114</v>
      </c>
      <c r="O71" t="s">
        <v>114</v>
      </c>
    </row>
    <row r="72" spans="1:15" ht="12.75" hidden="1">
      <c r="A72" s="4"/>
      <c r="E72" s="23"/>
      <c r="F72">
        <v>1</v>
      </c>
      <c r="G72">
        <v>2</v>
      </c>
      <c r="H72">
        <v>3</v>
      </c>
      <c r="I72">
        <v>4</v>
      </c>
      <c r="J72">
        <v>5</v>
      </c>
      <c r="K72">
        <v>6</v>
      </c>
      <c r="L72">
        <v>7</v>
      </c>
      <c r="M72">
        <v>8</v>
      </c>
      <c r="N72">
        <v>9</v>
      </c>
      <c r="O72">
        <v>10</v>
      </c>
    </row>
    <row r="73" spans="1:5" ht="12.75">
      <c r="A73" s="4"/>
      <c r="E73" s="23"/>
    </row>
    <row r="74" spans="1:15" ht="12.75">
      <c r="A74" s="58"/>
      <c r="B74" s="58"/>
      <c r="C74" s="58"/>
      <c r="D74" s="58"/>
      <c r="E74" s="62" t="s">
        <v>0</v>
      </c>
      <c r="F74" s="62" t="s">
        <v>1</v>
      </c>
      <c r="G74" s="62" t="s">
        <v>2</v>
      </c>
      <c r="H74" s="62" t="s">
        <v>3</v>
      </c>
      <c r="I74" s="62" t="s">
        <v>4</v>
      </c>
      <c r="J74" s="62" t="s">
        <v>5</v>
      </c>
      <c r="K74" s="62" t="s">
        <v>6</v>
      </c>
      <c r="L74" s="62" t="s">
        <v>7</v>
      </c>
      <c r="M74" s="62" t="s">
        <v>8</v>
      </c>
      <c r="N74" s="62" t="s">
        <v>9</v>
      </c>
      <c r="O74" s="62" t="s">
        <v>10</v>
      </c>
    </row>
    <row r="75" spans="1:15" ht="12.75">
      <c r="A75" t="s">
        <v>95</v>
      </c>
      <c r="E75" s="16">
        <f>E62</f>
        <v>0</v>
      </c>
      <c r="F75" s="16">
        <f aca="true" t="shared" si="28" ref="F75:O75">F62</f>
        <v>3883.5149999999558</v>
      </c>
      <c r="G75" s="16">
        <f t="shared" si="28"/>
        <v>117794.26492144747</v>
      </c>
      <c r="H75" s="16">
        <f t="shared" si="28"/>
        <v>130608.66044049911</v>
      </c>
      <c r="I75" s="16">
        <f t="shared" si="28"/>
        <v>138175.82805417484</v>
      </c>
      <c r="J75" s="16">
        <f t="shared" si="28"/>
        <v>156937.94003379054</v>
      </c>
      <c r="K75" s="16">
        <f t="shared" si="28"/>
        <v>180720.57054840738</v>
      </c>
      <c r="L75" s="16">
        <f t="shared" si="28"/>
        <v>201788.4791814955</v>
      </c>
      <c r="M75" s="16">
        <f t="shared" si="28"/>
        <v>224109.94502816442</v>
      </c>
      <c r="N75" s="16">
        <f t="shared" si="28"/>
        <v>247756.9517469604</v>
      </c>
      <c r="O75" s="16">
        <f t="shared" si="28"/>
        <v>272805.38216419425</v>
      </c>
    </row>
    <row r="76" spans="1:15" ht="12.75">
      <c r="A76" t="s">
        <v>106</v>
      </c>
      <c r="E76" s="16">
        <f aca="true" t="shared" si="29" ref="E76:O76">E62+D76</f>
        <v>0</v>
      </c>
      <c r="F76" s="16">
        <f t="shared" si="29"/>
        <v>3883.5149999999558</v>
      </c>
      <c r="G76" s="16">
        <f t="shared" si="29"/>
        <v>121677.77992144742</v>
      </c>
      <c r="H76" s="16">
        <f t="shared" si="29"/>
        <v>252286.44036194653</v>
      </c>
      <c r="I76" s="16">
        <f t="shared" si="29"/>
        <v>390462.26841612137</v>
      </c>
      <c r="J76" s="16">
        <f t="shared" si="29"/>
        <v>547400.2084499119</v>
      </c>
      <c r="K76" s="16">
        <f t="shared" si="29"/>
        <v>728120.7789983193</v>
      </c>
      <c r="L76" s="16">
        <f t="shared" si="29"/>
        <v>929909.2581798148</v>
      </c>
      <c r="M76" s="16">
        <f t="shared" si="29"/>
        <v>1154019.2032079792</v>
      </c>
      <c r="N76" s="16">
        <f t="shared" si="29"/>
        <v>1401776.1549549396</v>
      </c>
      <c r="O76" s="16">
        <f t="shared" si="29"/>
        <v>1674581.5371191339</v>
      </c>
    </row>
    <row r="77" spans="1:15" ht="12.75">
      <c r="A77" t="s">
        <v>107</v>
      </c>
      <c r="E77" s="16">
        <f>E61</f>
        <v>126000</v>
      </c>
      <c r="F77" s="16">
        <f>E77</f>
        <v>126000</v>
      </c>
      <c r="G77" s="16">
        <f aca="true" t="shared" si="30" ref="G77:O77">F77</f>
        <v>126000</v>
      </c>
      <c r="H77" s="16">
        <f t="shared" si="30"/>
        <v>126000</v>
      </c>
      <c r="I77" s="16">
        <f t="shared" si="30"/>
        <v>126000</v>
      </c>
      <c r="J77" s="16">
        <f t="shared" si="30"/>
        <v>126000</v>
      </c>
      <c r="K77" s="16">
        <f t="shared" si="30"/>
        <v>126000</v>
      </c>
      <c r="L77" s="16">
        <f t="shared" si="30"/>
        <v>126000</v>
      </c>
      <c r="M77" s="16">
        <f t="shared" si="30"/>
        <v>126000</v>
      </c>
      <c r="N77" s="16">
        <f t="shared" si="30"/>
        <v>126000</v>
      </c>
      <c r="O77" s="16">
        <f t="shared" si="30"/>
        <v>126000</v>
      </c>
    </row>
    <row r="78" spans="1:15" ht="12.75" hidden="1">
      <c r="A78" t="s">
        <v>108</v>
      </c>
      <c r="E78" s="16">
        <f>E76-E77</f>
        <v>-126000</v>
      </c>
      <c r="F78" s="16">
        <f aca="true" t="shared" si="31" ref="F78:O78">F76-F77</f>
        <v>-122116.48500000004</v>
      </c>
      <c r="G78" s="16">
        <f t="shared" si="31"/>
        <v>-4322.220078552578</v>
      </c>
      <c r="H78" s="16">
        <f t="shared" si="31"/>
        <v>126286.44036194653</v>
      </c>
      <c r="I78" s="16">
        <f t="shared" si="31"/>
        <v>264462.26841612137</v>
      </c>
      <c r="J78" s="16">
        <f t="shared" si="31"/>
        <v>421400.2084499119</v>
      </c>
      <c r="K78" s="16">
        <f t="shared" si="31"/>
        <v>602120.7789983193</v>
      </c>
      <c r="L78" s="16">
        <f t="shared" si="31"/>
        <v>803909.2581798148</v>
      </c>
      <c r="M78" s="16">
        <f t="shared" si="31"/>
        <v>1028019.2032079792</v>
      </c>
      <c r="N78" s="16">
        <f t="shared" si="31"/>
        <v>1275776.1549549396</v>
      </c>
      <c r="O78" s="16">
        <f t="shared" si="31"/>
        <v>1548581.5371191339</v>
      </c>
    </row>
    <row r="79" spans="1:15" ht="12.75" hidden="1">
      <c r="A79" t="s">
        <v>111</v>
      </c>
      <c r="F79">
        <f>IF(G78&gt;=0,F72,0)</f>
        <v>0</v>
      </c>
      <c r="G79">
        <f aca="true" t="shared" si="32" ref="G79:O79">IF(H78&gt;=0,G72,0)</f>
        <v>2</v>
      </c>
      <c r="H79">
        <f t="shared" si="32"/>
        <v>3</v>
      </c>
      <c r="I79">
        <f t="shared" si="32"/>
        <v>4</v>
      </c>
      <c r="J79">
        <f t="shared" si="32"/>
        <v>5</v>
      </c>
      <c r="K79">
        <f t="shared" si="32"/>
        <v>6</v>
      </c>
      <c r="L79">
        <f t="shared" si="32"/>
        <v>7</v>
      </c>
      <c r="M79">
        <f t="shared" si="32"/>
        <v>8</v>
      </c>
      <c r="N79">
        <f t="shared" si="32"/>
        <v>9</v>
      </c>
      <c r="O79">
        <f t="shared" si="32"/>
        <v>10</v>
      </c>
    </row>
    <row r="80" spans="1:15" ht="12.75" hidden="1">
      <c r="A80" t="s">
        <v>112</v>
      </c>
      <c r="F80" s="24">
        <f aca="true" t="shared" si="33" ref="F80:N80">IF(F79&gt;0,-F78*12/G75,0)</f>
        <v>0</v>
      </c>
      <c r="G80" s="24">
        <f t="shared" si="33"/>
        <v>0.3971148679398609</v>
      </c>
      <c r="H80" s="24">
        <f t="shared" si="33"/>
        <v>-10.967455782129985</v>
      </c>
      <c r="I80" s="24">
        <f t="shared" si="33"/>
        <v>-20.221669918122764</v>
      </c>
      <c r="J80" s="24">
        <f t="shared" si="33"/>
        <v>-27.981333204370557</v>
      </c>
      <c r="K80" s="24">
        <f t="shared" si="33"/>
        <v>-35.80704595865958</v>
      </c>
      <c r="L80" s="24">
        <f t="shared" si="33"/>
        <v>-43.04543958076215</v>
      </c>
      <c r="M80" s="24">
        <f t="shared" si="33"/>
        <v>-49.79166215725407</v>
      </c>
      <c r="N80" s="24">
        <f t="shared" si="33"/>
        <v>-56.11807852912891</v>
      </c>
      <c r="O80" s="24">
        <f>-O79</f>
        <v>-10</v>
      </c>
    </row>
    <row r="81" spans="6:15" ht="12.75" hidden="1">
      <c r="F81" s="24">
        <f>F79+F80</f>
        <v>0</v>
      </c>
      <c r="G81" s="24">
        <f aca="true" t="shared" si="34" ref="G81:O81">G79+G80</f>
        <v>2.397114867939861</v>
      </c>
      <c r="H81" s="24">
        <f t="shared" si="34"/>
        <v>-7.967455782129985</v>
      </c>
      <c r="I81" s="24">
        <f t="shared" si="34"/>
        <v>-16.221669918122764</v>
      </c>
      <c r="J81" s="24">
        <f t="shared" si="34"/>
        <v>-22.981333204370557</v>
      </c>
      <c r="K81" s="24">
        <f t="shared" si="34"/>
        <v>-29.80704595865958</v>
      </c>
      <c r="L81" s="24">
        <f t="shared" si="34"/>
        <v>-36.04543958076215</v>
      </c>
      <c r="M81" s="24">
        <f t="shared" si="34"/>
        <v>-41.79166215725407</v>
      </c>
      <c r="N81" s="24">
        <f t="shared" si="34"/>
        <v>-47.11807852912891</v>
      </c>
      <c r="O81" s="24">
        <f t="shared" si="34"/>
        <v>0</v>
      </c>
    </row>
    <row r="82" spans="1:15" s="4" customFormat="1" ht="12.75">
      <c r="A82" s="4" t="s">
        <v>113</v>
      </c>
      <c r="D82" s="4" t="s">
        <v>109</v>
      </c>
      <c r="F82" s="25" t="str">
        <f>IF(F80&gt;0,F79,F71)</f>
        <v> </v>
      </c>
      <c r="G82" s="25">
        <f aca="true" t="shared" si="35" ref="G82:O82">IF(G80&gt;0,G79,G71)</f>
        <v>2</v>
      </c>
      <c r="H82" s="25" t="str">
        <f t="shared" si="35"/>
        <v> </v>
      </c>
      <c r="I82" s="25" t="str">
        <f t="shared" si="35"/>
        <v> </v>
      </c>
      <c r="J82" s="25" t="str">
        <f t="shared" si="35"/>
        <v> </v>
      </c>
      <c r="K82" s="25" t="str">
        <f t="shared" si="35"/>
        <v> </v>
      </c>
      <c r="L82" s="25" t="str">
        <f t="shared" si="35"/>
        <v> </v>
      </c>
      <c r="M82" s="25" t="str">
        <f t="shared" si="35"/>
        <v> </v>
      </c>
      <c r="N82" s="25" t="str">
        <f t="shared" si="35"/>
        <v> </v>
      </c>
      <c r="O82" s="25" t="str">
        <f t="shared" si="35"/>
        <v> </v>
      </c>
    </row>
    <row r="83" spans="3:15" s="4" customFormat="1" ht="12.75">
      <c r="C83" s="39" t="s">
        <v>140</v>
      </c>
      <c r="D83" s="4" t="s">
        <v>110</v>
      </c>
      <c r="F83" s="25" t="str">
        <f>IF(F80&gt;0,F80,F71)</f>
        <v> </v>
      </c>
      <c r="G83" s="25">
        <f aca="true" t="shared" si="36" ref="G83:O83">IF(G80&gt;0,G80,G71)</f>
        <v>0.3971148679398609</v>
      </c>
      <c r="H83" s="25" t="str">
        <f t="shared" si="36"/>
        <v> </v>
      </c>
      <c r="I83" s="25" t="str">
        <f t="shared" si="36"/>
        <v> </v>
      </c>
      <c r="J83" s="25" t="str">
        <f t="shared" si="36"/>
        <v> </v>
      </c>
      <c r="K83" s="25" t="str">
        <f t="shared" si="36"/>
        <v> </v>
      </c>
      <c r="L83" s="25" t="str">
        <f t="shared" si="36"/>
        <v> </v>
      </c>
      <c r="M83" s="25" t="str">
        <f t="shared" si="36"/>
        <v> </v>
      </c>
      <c r="N83" s="25" t="str">
        <f t="shared" si="36"/>
        <v> </v>
      </c>
      <c r="O83" s="25" t="str">
        <f t="shared" si="36"/>
        <v> </v>
      </c>
    </row>
  </sheetData>
  <printOptions/>
  <pageMargins left="0.75" right="0.75" top="1" bottom="1" header="0" footer="0"/>
  <pageSetup fitToHeight="2" horizontalDpi="300" verticalDpi="300" orientation="landscape" paperSize="9" scale="76" r:id="rId2"/>
  <rowBreaks count="1" manualBreakCount="1">
    <brk id="39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O49"/>
  <sheetViews>
    <sheetView showGridLines="0" zoomScale="75" zoomScaleNormal="75" workbookViewId="0" topLeftCell="A24">
      <selection activeCell="F2" sqref="F2"/>
    </sheetView>
  </sheetViews>
  <sheetFormatPr defaultColWidth="11.421875" defaultRowHeight="12.75"/>
  <cols>
    <col min="1" max="1" width="23.57421875" style="0" customWidth="1"/>
    <col min="4" max="15" width="15.7109375" style="0" customWidth="1"/>
  </cols>
  <sheetData>
    <row r="6" spans="1:15" ht="12.75">
      <c r="A6" s="60" t="s">
        <v>117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</row>
    <row r="7" spans="1:15" ht="12.75">
      <c r="A7" s="68" t="s">
        <v>115</v>
      </c>
      <c r="B7" s="68" t="str">
        <f>'Margen bruto'!G6</f>
        <v>PROYECTO EJEMPLO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</row>
    <row r="9" spans="1:15" ht="12.75">
      <c r="A9" s="60" t="s">
        <v>121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</row>
    <row r="10" spans="1:10" ht="12.75">
      <c r="A10" s="38"/>
      <c r="F10" s="61" t="s">
        <v>120</v>
      </c>
      <c r="G10" s="58"/>
      <c r="H10" s="58"/>
      <c r="I10" s="58"/>
      <c r="J10" s="58"/>
    </row>
    <row r="11" spans="1:15" ht="12.75">
      <c r="A11" s="61" t="s">
        <v>118</v>
      </c>
      <c r="B11" s="58"/>
      <c r="C11" s="58"/>
      <c r="D11" s="58"/>
      <c r="E11" s="58"/>
      <c r="F11" s="62" t="s">
        <v>1</v>
      </c>
      <c r="G11" s="62" t="s">
        <v>2</v>
      </c>
      <c r="H11" s="62" t="s">
        <v>3</v>
      </c>
      <c r="I11" s="62" t="s">
        <v>4</v>
      </c>
      <c r="J11" s="62" t="s">
        <v>5</v>
      </c>
      <c r="K11" s="62" t="s">
        <v>6</v>
      </c>
      <c r="L11" s="62" t="s">
        <v>7</v>
      </c>
      <c r="M11" s="62" t="s">
        <v>8</v>
      </c>
      <c r="N11" s="62" t="s">
        <v>9</v>
      </c>
      <c r="O11" s="62" t="s">
        <v>10</v>
      </c>
    </row>
    <row r="12" spans="1:15" ht="12.75">
      <c r="A12" t="str">
        <f>'Margen bruto'!A18</f>
        <v>Volumen de ventas del producto A</v>
      </c>
      <c r="D12" s="40">
        <f>'Margen bruto'!E18</f>
        <v>10000</v>
      </c>
      <c r="F12" s="19">
        <f>'Margen bruto'!F19</f>
        <v>0.01</v>
      </c>
      <c r="G12" s="19">
        <f>'Margen bruto'!G19</f>
        <v>0.01</v>
      </c>
      <c r="H12" s="19">
        <f>'Margen bruto'!H19</f>
        <v>0.01</v>
      </c>
      <c r="I12" s="19">
        <f>'Margen bruto'!I19</f>
        <v>0.01</v>
      </c>
      <c r="J12" s="19">
        <f>'Margen bruto'!J19</f>
        <v>0.01</v>
      </c>
      <c r="K12" s="19">
        <f>'Margen bruto'!K19</f>
        <v>0.01</v>
      </c>
      <c r="L12" s="19">
        <f>'Margen bruto'!L19</f>
        <v>0.01</v>
      </c>
      <c r="M12" s="19">
        <f>'Margen bruto'!M19</f>
        <v>0.01</v>
      </c>
      <c r="N12" s="19">
        <f>'Margen bruto'!N19</f>
        <v>0.01</v>
      </c>
      <c r="O12" s="19">
        <f>'Margen bruto'!O19</f>
        <v>0.01</v>
      </c>
    </row>
    <row r="13" spans="1:15" ht="12.75">
      <c r="A13" t="str">
        <f>'Margen bruto'!A23</f>
        <v>Volumen de ventas del producto B</v>
      </c>
      <c r="D13" s="41">
        <f>'Margen bruto'!E23</f>
        <v>15000</v>
      </c>
      <c r="F13" s="19">
        <f>'Margen bruto'!F24</f>
        <v>0.01</v>
      </c>
      <c r="G13" s="19">
        <f>'Margen bruto'!G24</f>
        <v>0.01</v>
      </c>
      <c r="H13" s="19">
        <f>'Margen bruto'!H24</f>
        <v>0.01</v>
      </c>
      <c r="I13" s="19">
        <f>'Margen bruto'!I24</f>
        <v>0.01</v>
      </c>
      <c r="J13" s="19">
        <f>'Margen bruto'!J24</f>
        <v>0.01</v>
      </c>
      <c r="K13" s="19">
        <f>'Margen bruto'!K24</f>
        <v>0.01</v>
      </c>
      <c r="L13" s="19">
        <f>'Margen bruto'!L24</f>
        <v>0.01</v>
      </c>
      <c r="M13" s="19">
        <f>'Margen bruto'!M24</f>
        <v>0.01</v>
      </c>
      <c r="N13" s="19">
        <f>'Margen bruto'!N24</f>
        <v>0.01</v>
      </c>
      <c r="O13" s="19">
        <f>'Margen bruto'!O24</f>
        <v>0.01</v>
      </c>
    </row>
    <row r="14" spans="1:15" ht="12.75">
      <c r="A14" t="str">
        <f>'Margen bruto'!A28</f>
        <v>Volumen de ventas del producto C</v>
      </c>
      <c r="D14" s="42">
        <f>'Margen bruto'!E28</f>
        <v>30000</v>
      </c>
      <c r="F14" s="19">
        <f>'Margen bruto'!F29</f>
        <v>0.02</v>
      </c>
      <c r="G14" s="19">
        <f>'Margen bruto'!G29</f>
        <v>0.02</v>
      </c>
      <c r="H14" s="19">
        <f>'Margen bruto'!H29</f>
        <v>0.02</v>
      </c>
      <c r="I14" s="19">
        <f>'Margen bruto'!I29</f>
        <v>0.02</v>
      </c>
      <c r="J14" s="19">
        <f>'Margen bruto'!J29</f>
        <v>0.02</v>
      </c>
      <c r="K14" s="19">
        <f>'Margen bruto'!K29</f>
        <v>0.02</v>
      </c>
      <c r="L14" s="19">
        <f>'Margen bruto'!L29</f>
        <v>0.02</v>
      </c>
      <c r="M14" s="19">
        <f>'Margen bruto'!M29</f>
        <v>0.02</v>
      </c>
      <c r="N14" s="19">
        <f>'Margen bruto'!N29</f>
        <v>0.02</v>
      </c>
      <c r="O14" s="19">
        <f>'Margen bruto'!O29</f>
        <v>0.02</v>
      </c>
    </row>
    <row r="15" ht="12.75">
      <c r="A15" s="4" t="s">
        <v>119</v>
      </c>
    </row>
    <row r="16" spans="1:15" ht="12.75">
      <c r="A16" s="2" t="str">
        <f>'Margen bruto'!A16</f>
        <v>Precio del producto A</v>
      </c>
      <c r="D16" s="72">
        <f>'Margen bruto'!E16</f>
        <v>42</v>
      </c>
      <c r="F16" s="19">
        <f>'Margen bruto'!F17</f>
        <v>0.01</v>
      </c>
      <c r="G16" s="19">
        <f>'Margen bruto'!G17</f>
        <v>0.01</v>
      </c>
      <c r="H16" s="19">
        <f>'Margen bruto'!H17</f>
        <v>0.01</v>
      </c>
      <c r="I16" s="19">
        <f>'Margen bruto'!I17</f>
        <v>0.01</v>
      </c>
      <c r="J16" s="19">
        <f>'Margen bruto'!J17</f>
        <v>0.01</v>
      </c>
      <c r="K16" s="19">
        <f>'Margen bruto'!K17</f>
        <v>0.01</v>
      </c>
      <c r="L16" s="19">
        <f>'Margen bruto'!L17</f>
        <v>0.01</v>
      </c>
      <c r="M16" s="19">
        <f>'Margen bruto'!M17</f>
        <v>0.01</v>
      </c>
      <c r="N16" s="19">
        <f>'Margen bruto'!N17</f>
        <v>0.01</v>
      </c>
      <c r="O16" s="19">
        <f>'Margen bruto'!O17</f>
        <v>0.01</v>
      </c>
    </row>
    <row r="17" spans="1:15" ht="12.75">
      <c r="A17" t="str">
        <f>'Margen bruto'!A21</f>
        <v>Precio del producto B</v>
      </c>
      <c r="D17" s="43">
        <f>'Margen bruto'!E21</f>
        <v>9</v>
      </c>
      <c r="F17" s="19">
        <f>'Margen bruto'!F22</f>
        <v>0.03</v>
      </c>
      <c r="G17" s="19">
        <f>'Margen bruto'!G22</f>
        <v>0.03</v>
      </c>
      <c r="H17" s="19">
        <f>'Margen bruto'!H22</f>
        <v>0.03</v>
      </c>
      <c r="I17" s="19">
        <f>'Margen bruto'!I22</f>
        <v>0.03</v>
      </c>
      <c r="J17" s="19">
        <f>'Margen bruto'!J22</f>
        <v>0.03</v>
      </c>
      <c r="K17" s="19">
        <f>'Margen bruto'!K22</f>
        <v>0.03</v>
      </c>
      <c r="L17" s="19">
        <f>'Margen bruto'!L22</f>
        <v>0.03</v>
      </c>
      <c r="M17" s="19">
        <f>'Margen bruto'!M22</f>
        <v>0.03</v>
      </c>
      <c r="N17" s="19">
        <f>'Margen bruto'!N22</f>
        <v>0.03</v>
      </c>
      <c r="O17" s="19">
        <f>'Margen bruto'!O22</f>
        <v>0.03</v>
      </c>
    </row>
    <row r="18" spans="1:15" ht="12.75">
      <c r="A18" t="str">
        <f>'Margen bruto'!A26</f>
        <v>Precio del producto C</v>
      </c>
      <c r="D18" s="43">
        <f>'Margen bruto'!E26</f>
        <v>24</v>
      </c>
      <c r="F18" s="19">
        <f>'Margen bruto'!F27</f>
        <v>0.03</v>
      </c>
      <c r="G18" s="19">
        <f>'Margen bruto'!G27</f>
        <v>0.03</v>
      </c>
      <c r="H18" s="19">
        <f>'Margen bruto'!H27</f>
        <v>0.03</v>
      </c>
      <c r="I18" s="19">
        <f>'Margen bruto'!I27</f>
        <v>0.03</v>
      </c>
      <c r="J18" s="19">
        <f>'Margen bruto'!J27</f>
        <v>0.03</v>
      </c>
      <c r="K18" s="19">
        <f>'Margen bruto'!K27</f>
        <v>0.03</v>
      </c>
      <c r="L18" s="19">
        <f>'Margen bruto'!L27</f>
        <v>0.03</v>
      </c>
      <c r="M18" s="19">
        <f>'Margen bruto'!M27</f>
        <v>0.03</v>
      </c>
      <c r="N18" s="19">
        <f>'Margen bruto'!N27</f>
        <v>0.03</v>
      </c>
      <c r="O18" s="19">
        <f>'Margen bruto'!O27</f>
        <v>0.03</v>
      </c>
    </row>
    <row r="19" spans="1:15" ht="12.75">
      <c r="A19" t="str">
        <f>'Margen bruto'!A34</f>
        <v>Coste variable unitario del producto A</v>
      </c>
      <c r="D19" s="43">
        <f>'Margen bruto'!E34</f>
        <v>30</v>
      </c>
      <c r="F19" s="19">
        <f>'Margen bruto'!F38</f>
        <v>0.015</v>
      </c>
      <c r="G19" s="19">
        <f>'Margen bruto'!G38</f>
        <v>0.015</v>
      </c>
      <c r="H19" s="19">
        <f>'Margen bruto'!H38</f>
        <v>0.015</v>
      </c>
      <c r="I19" s="19">
        <f>'Margen bruto'!I38</f>
        <v>0.015</v>
      </c>
      <c r="J19" s="19">
        <f>'Margen bruto'!J38</f>
        <v>0.015</v>
      </c>
      <c r="K19" s="19">
        <f>'Margen bruto'!K38</f>
        <v>0.015</v>
      </c>
      <c r="L19" s="19">
        <f>'Margen bruto'!L38</f>
        <v>0.015</v>
      </c>
      <c r="M19" s="19">
        <f>'Margen bruto'!M38</f>
        <v>0.015</v>
      </c>
      <c r="N19" s="19">
        <f>'Margen bruto'!N38</f>
        <v>0.015</v>
      </c>
      <c r="O19" s="19">
        <f>'Margen bruto'!O38</f>
        <v>0.015</v>
      </c>
    </row>
    <row r="20" spans="1:15" ht="12.75">
      <c r="A20" t="str">
        <f>'Margen bruto'!A37</f>
        <v>Coste variable unitario del producto B</v>
      </c>
      <c r="D20" s="43">
        <f>'Margen bruto'!E37</f>
        <v>6</v>
      </c>
      <c r="F20" s="19">
        <f>'Margen bruto'!F38</f>
        <v>0.015</v>
      </c>
      <c r="G20" s="19">
        <f>'Margen bruto'!G38</f>
        <v>0.015</v>
      </c>
      <c r="H20" s="19">
        <f>'Margen bruto'!H38</f>
        <v>0.015</v>
      </c>
      <c r="I20" s="19">
        <f>'Margen bruto'!I38</f>
        <v>0.015</v>
      </c>
      <c r="J20" s="19">
        <f>'Margen bruto'!J38</f>
        <v>0.015</v>
      </c>
      <c r="K20" s="19">
        <f>'Margen bruto'!K38</f>
        <v>0.015</v>
      </c>
      <c r="L20" s="19">
        <f>'Margen bruto'!L38</f>
        <v>0.015</v>
      </c>
      <c r="M20" s="19">
        <f>'Margen bruto'!M38</f>
        <v>0.015</v>
      </c>
      <c r="N20" s="19">
        <f>'Margen bruto'!N38</f>
        <v>0.015</v>
      </c>
      <c r="O20" s="19">
        <f>'Margen bruto'!O38</f>
        <v>0.015</v>
      </c>
    </row>
    <row r="21" spans="1:15" ht="12.75">
      <c r="A21" t="str">
        <f>'Margen bruto'!A40</f>
        <v>Coste variable unitario del producto C</v>
      </c>
      <c r="D21" s="43">
        <f>'Margen bruto'!E40</f>
        <v>18</v>
      </c>
      <c r="F21" s="19">
        <f>'Margen bruto'!F41</f>
        <v>0.01</v>
      </c>
      <c r="G21" s="19">
        <f>'Margen bruto'!G41</f>
        <v>0.01</v>
      </c>
      <c r="H21" s="19">
        <f>'Margen bruto'!H41</f>
        <v>0.01</v>
      </c>
      <c r="I21" s="19">
        <f>'Margen bruto'!I41</f>
        <v>0.01</v>
      </c>
      <c r="J21" s="19">
        <f>'Margen bruto'!J41</f>
        <v>0.01</v>
      </c>
      <c r="K21" s="19">
        <f>'Margen bruto'!K41</f>
        <v>0.01</v>
      </c>
      <c r="L21" s="19">
        <f>'Margen bruto'!L41</f>
        <v>0.01</v>
      </c>
      <c r="M21" s="19">
        <f>'Margen bruto'!M41</f>
        <v>0.01</v>
      </c>
      <c r="N21" s="19">
        <f>'Margen bruto'!N41</f>
        <v>0.01</v>
      </c>
      <c r="O21" s="19">
        <f>'Margen bruto'!O41</f>
        <v>0.01</v>
      </c>
    </row>
    <row r="22" spans="1:15" ht="12.75">
      <c r="A22" t="str">
        <f>'Margen bruto'!A44</f>
        <v>Coste de personal</v>
      </c>
      <c r="D22" s="41">
        <f>'Margen bruto'!E44</f>
        <v>150000</v>
      </c>
      <c r="F22" s="19">
        <f>'Margen bruto'!F48</f>
        <v>0.02</v>
      </c>
      <c r="G22" s="19">
        <f>'Margen bruto'!G48</f>
        <v>0.02</v>
      </c>
      <c r="H22" s="19">
        <f>'Margen bruto'!H48</f>
        <v>0.02</v>
      </c>
      <c r="I22" s="19">
        <f>'Margen bruto'!I48</f>
        <v>0.02</v>
      </c>
      <c r="J22" s="19">
        <f>'Margen bruto'!J48</f>
        <v>0.02</v>
      </c>
      <c r="K22" s="19">
        <f>'Margen bruto'!K48</f>
        <v>0.02</v>
      </c>
      <c r="L22" s="19">
        <f>'Margen bruto'!L48</f>
        <v>0.02</v>
      </c>
      <c r="M22" s="19">
        <f>'Margen bruto'!M48</f>
        <v>0.02</v>
      </c>
      <c r="N22" s="19">
        <f>'Margen bruto'!N48</f>
        <v>0.02</v>
      </c>
      <c r="O22" s="19">
        <f>'Margen bruto'!O48</f>
        <v>0.02</v>
      </c>
    </row>
    <row r="23" spans="1:15" ht="12.75">
      <c r="A23" t="str">
        <f>'Margen bruto'!A45</f>
        <v>Coste de mantenimiento</v>
      </c>
      <c r="D23" s="41">
        <f>'Margen bruto'!E45</f>
        <v>30000</v>
      </c>
      <c r="F23" s="19">
        <f>'Margen bruto'!F48</f>
        <v>0.02</v>
      </c>
      <c r="G23" s="19">
        <f>'Margen bruto'!G48</f>
        <v>0.02</v>
      </c>
      <c r="H23" s="19">
        <f>'Margen bruto'!H48</f>
        <v>0.02</v>
      </c>
      <c r="I23" s="19">
        <f>'Margen bruto'!I48</f>
        <v>0.02</v>
      </c>
      <c r="J23" s="19">
        <f>'Margen bruto'!J48</f>
        <v>0.02</v>
      </c>
      <c r="K23" s="19">
        <f>'Margen bruto'!K48</f>
        <v>0.02</v>
      </c>
      <c r="L23" s="19">
        <f>'Margen bruto'!L48</f>
        <v>0.02</v>
      </c>
      <c r="M23" s="19">
        <f>'Margen bruto'!M48</f>
        <v>0.02</v>
      </c>
      <c r="N23" s="19">
        <f>'Margen bruto'!N48</f>
        <v>0.02</v>
      </c>
      <c r="O23" s="19">
        <f>'Margen bruto'!O48</f>
        <v>0.02</v>
      </c>
    </row>
    <row r="24" spans="1:15" ht="12.75">
      <c r="A24" t="str">
        <f>'Margen bruto'!A46</f>
        <v>Seguros</v>
      </c>
      <c r="D24" s="41">
        <f>'Margen bruto'!E46</f>
        <v>20000</v>
      </c>
      <c r="F24" s="19">
        <f>'Margen bruto'!F48</f>
        <v>0.02</v>
      </c>
      <c r="G24" s="19">
        <f>'Margen bruto'!G48</f>
        <v>0.02</v>
      </c>
      <c r="H24" s="19">
        <f>'Margen bruto'!H48</f>
        <v>0.02</v>
      </c>
      <c r="I24" s="19">
        <f>'Margen bruto'!I48</f>
        <v>0.02</v>
      </c>
      <c r="J24" s="19">
        <f>'Margen bruto'!J48</f>
        <v>0.02</v>
      </c>
      <c r="K24" s="19">
        <f>'Margen bruto'!K48</f>
        <v>0.02</v>
      </c>
      <c r="L24" s="19">
        <f>'Margen bruto'!L48</f>
        <v>0.02</v>
      </c>
      <c r="M24" s="19">
        <f>'Margen bruto'!M48</f>
        <v>0.02</v>
      </c>
      <c r="N24" s="19">
        <f>'Margen bruto'!N48</f>
        <v>0.02</v>
      </c>
      <c r="O24" s="19">
        <f>'Margen bruto'!O48</f>
        <v>0.02</v>
      </c>
    </row>
    <row r="25" spans="1:15" ht="12.75">
      <c r="A25" t="str">
        <f>'Margen bruto'!A47</f>
        <v>Servicios, administración, alquileres y otros gastos fijos</v>
      </c>
      <c r="D25" s="42">
        <f>'Margen bruto'!E47</f>
        <v>30000</v>
      </c>
      <c r="F25" s="19">
        <f>'Margen bruto'!F48</f>
        <v>0.02</v>
      </c>
      <c r="G25" s="19">
        <f>'Margen bruto'!G48</f>
        <v>0.02</v>
      </c>
      <c r="H25" s="19">
        <f>'Margen bruto'!H48</f>
        <v>0.02</v>
      </c>
      <c r="I25" s="19">
        <f>'Margen bruto'!I48</f>
        <v>0.02</v>
      </c>
      <c r="J25" s="19">
        <f>'Margen bruto'!J48</f>
        <v>0.02</v>
      </c>
      <c r="K25" s="19">
        <f>'Margen bruto'!K48</f>
        <v>0.02</v>
      </c>
      <c r="L25" s="19">
        <f>'Margen bruto'!L48</f>
        <v>0.02</v>
      </c>
      <c r="M25" s="19">
        <f>'Margen bruto'!M48</f>
        <v>0.02</v>
      </c>
      <c r="N25" s="19">
        <f>'Margen bruto'!N48</f>
        <v>0.02</v>
      </c>
      <c r="O25" s="19">
        <f>'Margen bruto'!O48</f>
        <v>0.02</v>
      </c>
    </row>
    <row r="27" spans="1:15" ht="12.75">
      <c r="A27" s="60" t="s">
        <v>122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</row>
    <row r="28" spans="1:5" ht="12.75">
      <c r="A28" t="s">
        <v>123</v>
      </c>
      <c r="E28" s="40">
        <f>Deuda!E10</f>
        <v>630000</v>
      </c>
    </row>
    <row r="29" spans="1:5" ht="12.75">
      <c r="A29" t="s">
        <v>124</v>
      </c>
      <c r="E29" s="41">
        <f>'Balance y dividendos'!E24</f>
        <v>126000</v>
      </c>
    </row>
    <row r="30" spans="1:5" ht="12.75">
      <c r="A30" t="s">
        <v>125</v>
      </c>
      <c r="E30" s="41">
        <f>Deuda!E13</f>
        <v>504000</v>
      </c>
    </row>
    <row r="31" spans="1:5" ht="12.75">
      <c r="A31" t="s">
        <v>126</v>
      </c>
      <c r="E31" s="44">
        <f>Deuda!E14</f>
        <v>10</v>
      </c>
    </row>
    <row r="32" spans="1:5" ht="12.75">
      <c r="A32" t="s">
        <v>127</v>
      </c>
      <c r="E32" s="45">
        <f>Deuda!E20</f>
        <v>0.05</v>
      </c>
    </row>
    <row r="33" spans="1:5" ht="12.75">
      <c r="A33" t="s">
        <v>128</v>
      </c>
      <c r="E33" s="46">
        <f>'P&amp;L, Cash Flow y ratios'!F29</f>
        <v>0.030000000000000027</v>
      </c>
    </row>
    <row r="34" spans="1:5" ht="12.75">
      <c r="A34" t="s">
        <v>129</v>
      </c>
      <c r="E34" s="47">
        <f>'Balance y dividendos'!E63</f>
        <v>0.1</v>
      </c>
    </row>
    <row r="36" spans="1:15" ht="12.75">
      <c r="A36" s="60" t="s">
        <v>130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</row>
    <row r="37" spans="1:15" ht="12.75">
      <c r="A37" s="58"/>
      <c r="B37" s="58"/>
      <c r="C37" s="58"/>
      <c r="D37" s="58"/>
      <c r="E37" s="62" t="s">
        <v>0</v>
      </c>
      <c r="F37" s="62" t="s">
        <v>1</v>
      </c>
      <c r="G37" s="62" t="s">
        <v>2</v>
      </c>
      <c r="H37" s="62" t="s">
        <v>3</v>
      </c>
      <c r="I37" s="62" t="s">
        <v>4</v>
      </c>
      <c r="J37" s="62" t="s">
        <v>5</v>
      </c>
      <c r="K37" s="62" t="s">
        <v>6</v>
      </c>
      <c r="L37" s="62" t="s">
        <v>7</v>
      </c>
      <c r="M37" s="62" t="s">
        <v>8</v>
      </c>
      <c r="N37" s="62" t="s">
        <v>9</v>
      </c>
      <c r="O37" s="62" t="s">
        <v>10</v>
      </c>
    </row>
    <row r="38" spans="1:15" ht="12.75">
      <c r="A38" t="s">
        <v>131</v>
      </c>
      <c r="E38" s="16">
        <f>'Margen bruto'!E31</f>
        <v>0</v>
      </c>
      <c r="F38" s="16">
        <f>'Margen bruto'!F31</f>
        <v>1325314.5</v>
      </c>
      <c r="G38" s="16">
        <f>'Margen bruto'!G31</f>
        <v>1377861.39555</v>
      </c>
      <c r="H38" s="16">
        <f>'Margen bruto'!H31</f>
        <v>1432746.212199585</v>
      </c>
      <c r="I38" s="16">
        <f>'Margen bruto'!I31</f>
        <v>1490079.6200568755</v>
      </c>
      <c r="J38" s="16">
        <f>'Margen bruto'!J31</f>
        <v>1549977.68834461</v>
      </c>
      <c r="K38" s="16">
        <f>'Margen bruto'!K31</f>
        <v>1612562.152646934</v>
      </c>
      <c r="L38" s="16">
        <f>'Margen bruto'!L31</f>
        <v>1677960.695482236</v>
      </c>
      <c r="M38" s="16">
        <f>'Margen bruto'!M31</f>
        <v>1746307.2408692797</v>
      </c>
      <c r="N38" s="16">
        <f>'Margen bruto'!N31</f>
        <v>1817742.263587358</v>
      </c>
      <c r="O38" s="16">
        <f>'Margen bruto'!O31</f>
        <v>1892413.1138663914</v>
      </c>
    </row>
    <row r="39" spans="1:15" ht="12.75">
      <c r="A39" t="s">
        <v>42</v>
      </c>
      <c r="E39" s="16">
        <f>'Margen bruto'!E52</f>
        <v>0</v>
      </c>
      <c r="F39" s="16">
        <f>'Margen bruto'!F52</f>
        <v>133083</v>
      </c>
      <c r="G39" s="16">
        <f>'Margen bruto'!G52</f>
        <v>247067.18736607302</v>
      </c>
      <c r="H39" s="16">
        <f>'Margen bruto'!H52</f>
        <v>270242.7978061524</v>
      </c>
      <c r="I39" s="16">
        <f>'Margen bruto'!I52</f>
        <v>294958.1970064228</v>
      </c>
      <c r="J39" s="16">
        <f>'Margen bruto'!J52</f>
        <v>321302.9846673701</v>
      </c>
      <c r="K39" s="16">
        <f>'Margen bruto'!K52</f>
        <v>349371.6469975498</v>
      </c>
      <c r="L39" s="16">
        <f>'Margen bruto'!L52</f>
        <v>379263.8141253777</v>
      </c>
      <c r="M39" s="16">
        <f>'Margen bruto'!M52</f>
        <v>411084.5308125606</v>
      </c>
      <c r="N39" s="16">
        <f>'Margen bruto'!N52</f>
        <v>444944.5411491699</v>
      </c>
      <c r="O39" s="16">
        <f>'Margen bruto'!O52</f>
        <v>480960.5879449141</v>
      </c>
    </row>
    <row r="40" spans="1:15" ht="12.75">
      <c r="A40" t="s">
        <v>132</v>
      </c>
      <c r="E40" s="16">
        <f>'P&amp;L, Cash Flow y ratios'!E19</f>
        <v>0</v>
      </c>
      <c r="F40" s="16">
        <f>'P&amp;L, Cash Flow y ratios'!F19</f>
        <v>28042.95</v>
      </c>
      <c r="G40" s="16">
        <f>'P&amp;L, Cash Flow y ratios'!G19</f>
        <v>103770.67178794747</v>
      </c>
      <c r="H40" s="16">
        <f>'P&amp;L, Cash Flow y ratios'!H19</f>
        <v>120472.81857399904</v>
      </c>
      <c r="I40" s="16">
        <f>'P&amp;L, Cash Flow y ratios'!I19</f>
        <v>138175.82805417484</v>
      </c>
      <c r="J40" s="16">
        <f>'P&amp;L, Cash Flow y ratios'!J19</f>
        <v>156937.94003379057</v>
      </c>
      <c r="K40" s="16">
        <f>'P&amp;L, Cash Flow y ratios'!K19</f>
        <v>180720.57054840738</v>
      </c>
      <c r="L40" s="16">
        <f>'P&amp;L, Cash Flow y ratios'!L19</f>
        <v>201788.4791814955</v>
      </c>
      <c r="M40" s="16">
        <f>'P&amp;L, Cash Flow y ratios'!M19</f>
        <v>224109.94502816437</v>
      </c>
      <c r="N40" s="16">
        <f>'P&amp;L, Cash Flow y ratios'!N19</f>
        <v>247756.95174696043</v>
      </c>
      <c r="O40" s="16">
        <f>'P&amp;L, Cash Flow y ratios'!O19</f>
        <v>272805.3821641942</v>
      </c>
    </row>
    <row r="41" spans="1:15" ht="12.75">
      <c r="A41" t="s">
        <v>61</v>
      </c>
      <c r="E41" s="16">
        <f>'P&amp;L, Cash Flow y ratios'!E41</f>
        <v>0</v>
      </c>
      <c r="F41" s="16">
        <f>'P&amp;L, Cash Flow y ratios'!F41</f>
        <v>78223.51499999996</v>
      </c>
      <c r="G41" s="16">
        <f>'P&amp;L, Cash Flow y ratios'!G41</f>
        <v>189614.26492144747</v>
      </c>
      <c r="H41" s="16">
        <f>'P&amp;L, Cash Flow y ratios'!H41</f>
        <v>203726.2740745115</v>
      </c>
      <c r="I41" s="16">
        <f>'P&amp;L, Cash Flow y ratios'!I41</f>
        <v>218835.82581845613</v>
      </c>
      <c r="J41" s="16">
        <f>'P&amp;L, Cash Flow y ratios'!J41</f>
        <v>235000.99798515852</v>
      </c>
      <c r="K41" s="16">
        <f>'P&amp;L, Cash Flow y ratios'!K41</f>
        <v>250183.03661933765</v>
      </c>
      <c r="L41" s="16">
        <f>'P&amp;L, Cash Flow y ratios'!L41</f>
        <v>268646.52289643645</v>
      </c>
      <c r="M41" s="16">
        <f>'P&amp;L, Cash Flow y ratios'!M41</f>
        <v>288359.54866655305</v>
      </c>
      <c r="N41" s="16">
        <f>'P&amp;L, Cash Flow y ratios'!N41</f>
        <v>309393.90106541803</v>
      </c>
      <c r="O41" s="16">
        <f>'P&amp;L, Cash Flow y ratios'!O41</f>
        <v>331825.2566558232</v>
      </c>
    </row>
    <row r="42" spans="1:15" ht="12.75">
      <c r="A42" t="s">
        <v>139</v>
      </c>
      <c r="E42" s="16">
        <f>Deuda!E25</f>
        <v>0</v>
      </c>
      <c r="F42" s="16">
        <f>Deuda!F25</f>
        <v>74340</v>
      </c>
      <c r="G42" s="16">
        <f>Deuda!G25</f>
        <v>71820</v>
      </c>
      <c r="H42" s="16">
        <f>Deuda!H25</f>
        <v>69300</v>
      </c>
      <c r="I42" s="16">
        <f>Deuda!I25</f>
        <v>66780</v>
      </c>
      <c r="J42" s="16">
        <f>Deuda!J25</f>
        <v>64260</v>
      </c>
      <c r="K42" s="16">
        <f>Deuda!K25</f>
        <v>61740</v>
      </c>
      <c r="L42" s="16">
        <f>Deuda!L25</f>
        <v>59220</v>
      </c>
      <c r="M42" s="16">
        <f>Deuda!M25</f>
        <v>56700</v>
      </c>
      <c r="N42" s="16">
        <f>Deuda!N25</f>
        <v>54180</v>
      </c>
      <c r="O42" s="16">
        <f>Deuda!O25</f>
        <v>51660</v>
      </c>
    </row>
    <row r="43" spans="1:15" ht="12.75">
      <c r="A43" t="s">
        <v>58</v>
      </c>
      <c r="E43" s="2">
        <f>'P&amp;L, Cash Flow y ratios'!E50</f>
        <v>0</v>
      </c>
      <c r="F43" s="2">
        <f>'P&amp;L, Cash Flow y ratios'!F50</f>
        <v>1.0522399112187242</v>
      </c>
      <c r="G43" s="2">
        <f>'P&amp;L, Cash Flow y ratios'!G50</f>
        <v>2.6401317867090985</v>
      </c>
      <c r="H43" s="2">
        <f>'P&amp;L, Cash Flow y ratios'!H50</f>
        <v>2.9397730746682753</v>
      </c>
      <c r="I43" s="2">
        <f>'P&amp;L, Cash Flow y ratios'!I50</f>
        <v>3.276966544151784</v>
      </c>
      <c r="J43" s="2">
        <f>'P&amp;L, Cash Flow y ratios'!J50</f>
        <v>3.6570338933264632</v>
      </c>
      <c r="K43" s="2">
        <f>'P&amp;L, Cash Flow y ratios'!K50</f>
        <v>4.052203378998018</v>
      </c>
      <c r="L43" s="2">
        <f>'P&amp;L, Cash Flow y ratios'!L50</f>
        <v>4.536415449112402</v>
      </c>
      <c r="M43" s="2">
        <f>'P&amp;L, Cash Flow y ratios'!M50</f>
        <v>5.085706325688767</v>
      </c>
      <c r="N43" s="2">
        <f>'P&amp;L, Cash Flow y ratios'!N50</f>
        <v>5.710481747239166</v>
      </c>
      <c r="O43" s="2">
        <f>'P&amp;L, Cash Flow y ratios'!O50</f>
        <v>6.423253129226156</v>
      </c>
    </row>
    <row r="44" spans="1:15" ht="12.75">
      <c r="A44" t="s">
        <v>66</v>
      </c>
      <c r="E44" s="2">
        <f>'P&amp;L, Cash Flow y ratios'!E87</f>
        <v>3.497167699771136</v>
      </c>
      <c r="F44" s="2">
        <f>'P&amp;L, Cash Flow y ratios'!F87</f>
        <v>3.907578553172145</v>
      </c>
      <c r="G44" s="2">
        <f>'P&amp;L, Cash Flow y ratios'!G87</f>
        <v>4.145553691427039</v>
      </c>
      <c r="H44" s="2">
        <f>'P&amp;L, Cash Flow y ratios'!H87</f>
        <v>4.397209004331178</v>
      </c>
      <c r="I44" s="2">
        <f>'P&amp;L, Cash Flow y ratios'!I87</f>
        <v>4.66291758513884</v>
      </c>
      <c r="J44" s="2">
        <f>'P&amp;L, Cash Flow y ratios'!J87</f>
        <v>4.942732514476691</v>
      </c>
      <c r="K44" s="2">
        <f>'P&amp;L, Cash Flow y ratios'!K87</f>
        <v>5.246349140432514</v>
      </c>
      <c r="L44" s="2">
        <f>'P&amp;L, Cash Flow y ratios'!L87</f>
        <v>5.568126079036494</v>
      </c>
      <c r="M44" s="2">
        <f>'P&amp;L, Cash Flow y ratios'!M87</f>
        <v>5.909088766282548</v>
      </c>
      <c r="N44" s="2">
        <f>'P&amp;L, Cash Flow y ratios'!N87</f>
        <v>6.270318530911247</v>
      </c>
      <c r="O44" s="2">
        <f>'P&amp;L, Cash Flow y ratios'!O87</f>
        <v>0</v>
      </c>
    </row>
    <row r="45" spans="1:15" ht="12.75">
      <c r="A45" t="s">
        <v>138</v>
      </c>
      <c r="E45" s="16">
        <f>'Balance y dividendos'!E38</f>
        <v>0</v>
      </c>
      <c r="F45" s="16">
        <f>'Balance y dividendos'!F38</f>
        <v>3883.5149999999558</v>
      </c>
      <c r="G45" s="16">
        <f>'Balance y dividendos'!G38</f>
        <v>117794.26492144747</v>
      </c>
      <c r="H45" s="16">
        <f>'Balance y dividendos'!H38</f>
        <v>130608.66044049911</v>
      </c>
      <c r="I45" s="16">
        <f>'Balance y dividendos'!I38</f>
        <v>138175.82805417484</v>
      </c>
      <c r="J45" s="16">
        <f>'Balance y dividendos'!J38</f>
        <v>156937.94003379054</v>
      </c>
      <c r="K45" s="16">
        <f>'Balance y dividendos'!K38</f>
        <v>180720.57054840738</v>
      </c>
      <c r="L45" s="16">
        <f>'Balance y dividendos'!L38</f>
        <v>201788.4791814955</v>
      </c>
      <c r="M45" s="16">
        <f>'Balance y dividendos'!M38</f>
        <v>224109.94502816442</v>
      </c>
      <c r="N45" s="16">
        <f>'Balance y dividendos'!N38</f>
        <v>247756.9517469604</v>
      </c>
      <c r="O45" s="16">
        <f>'Balance y dividendos'!O38</f>
        <v>272805.38216419425</v>
      </c>
    </row>
    <row r="46" spans="1:5" ht="12.75">
      <c r="A46" t="s">
        <v>133</v>
      </c>
      <c r="E46" s="16">
        <f>'Balance y dividendos'!E67</f>
        <v>785193.1910695956</v>
      </c>
    </row>
    <row r="47" spans="1:5" ht="12.75">
      <c r="A47" t="s">
        <v>134</v>
      </c>
      <c r="E47" s="17">
        <f>'Balance y dividendos'!E71</f>
        <v>0.6632703576464994</v>
      </c>
    </row>
    <row r="48" spans="1:15" ht="12.75">
      <c r="A48" t="s">
        <v>135</v>
      </c>
      <c r="E48" t="str">
        <f>'Balance y dividendos'!D82</f>
        <v>Años</v>
      </c>
      <c r="G48" s="24" t="str">
        <f>'Balance y dividendos'!F82</f>
        <v> </v>
      </c>
      <c r="H48" s="24">
        <f>'Balance y dividendos'!G82</f>
        <v>2</v>
      </c>
      <c r="I48" s="24" t="str">
        <f>'Balance y dividendos'!H82</f>
        <v> </v>
      </c>
      <c r="J48" s="24" t="str">
        <f>'Balance y dividendos'!I82</f>
        <v> </v>
      </c>
      <c r="K48" s="24" t="str">
        <f>'Balance y dividendos'!J82</f>
        <v> </v>
      </c>
      <c r="L48" s="24" t="str">
        <f>'Balance y dividendos'!K82</f>
        <v> </v>
      </c>
      <c r="M48" s="24" t="str">
        <f>'Balance y dividendos'!L82</f>
        <v> </v>
      </c>
      <c r="N48" s="24" t="str">
        <f>'Balance y dividendos'!M82</f>
        <v> </v>
      </c>
      <c r="O48" s="24" t="str">
        <f>'Balance y dividendos'!N82</f>
        <v> </v>
      </c>
    </row>
    <row r="49" spans="4:15" ht="12.75">
      <c r="D49" t="s">
        <v>140</v>
      </c>
      <c r="E49" t="str">
        <f>'Balance y dividendos'!D83</f>
        <v>Meses</v>
      </c>
      <c r="G49" s="24" t="str">
        <f>'Balance y dividendos'!F83</f>
        <v> </v>
      </c>
      <c r="H49" s="24">
        <f>'Balance y dividendos'!G83</f>
        <v>0.3971148679398609</v>
      </c>
      <c r="I49" s="24" t="str">
        <f>'Balance y dividendos'!H83</f>
        <v> </v>
      </c>
      <c r="J49" s="24" t="str">
        <f>'Balance y dividendos'!I83</f>
        <v> </v>
      </c>
      <c r="K49" s="24" t="str">
        <f>'Balance y dividendos'!J83</f>
        <v> </v>
      </c>
      <c r="L49" s="24" t="str">
        <f>'Balance y dividendos'!K83</f>
        <v> </v>
      </c>
      <c r="M49" s="24" t="str">
        <f>'Balance y dividendos'!L83</f>
        <v> </v>
      </c>
      <c r="N49" s="24" t="str">
        <f>'Balance y dividendos'!M83</f>
        <v> </v>
      </c>
      <c r="O49" s="24" t="str">
        <f>'Balance y dividendos'!N83</f>
        <v> </v>
      </c>
    </row>
  </sheetData>
  <printOptions/>
  <pageMargins left="0.75" right="0.75" top="1" bottom="1" header="0" footer="0"/>
  <pageSetup fitToHeight="1" fitToWidth="1" horizontalDpi="300" verticalDpi="3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BEHARGINTZA FORLAN ZONA MINER</cp:lastModifiedBy>
  <cp:lastPrinted>1999-04-28T16:29:09Z</cp:lastPrinted>
  <dcterms:created xsi:type="dcterms:W3CDTF">1999-04-02T15:19:24Z</dcterms:created>
  <dcterms:modified xsi:type="dcterms:W3CDTF">2001-11-20T12:37:40Z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